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K+TeJnDkNPz0Slvql2PgPwKs1cSrzkU7BXlqxMHe/6lL2ETK2AzEN7BgnxtfYLryx4OBjCPm+dSzuVlRYwcqA==" workbookSaltValue="bzjc0wf5wYIheEGlVJZ5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E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F9" i="13" s="1"/>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C19" i="3"/>
  <c r="BD12" i="13"/>
  <c r="AP13" i="17"/>
  <c r="BD17" i="8"/>
  <c r="BF17" i="8"/>
  <c r="AB19" i="19"/>
  <c r="ER19" i="8"/>
  <c r="EL19" i="8"/>
  <c r="AC11" i="11"/>
  <c r="EQ19" i="8"/>
  <c r="AP12" i="11"/>
  <c r="Y11" i="11"/>
  <c r="AT18" i="17"/>
  <c r="N10" i="11"/>
  <c r="N9" i="11"/>
  <c r="T10" i="21"/>
  <c r="N11" i="11"/>
  <c r="ES19" i="8"/>
  <c r="C18" i="7"/>
  <c r="S19" i="13"/>
  <c r="AG19" i="19"/>
  <c r="CI19" i="8"/>
  <c r="AE19" i="8"/>
  <c r="F17" i="16"/>
  <c r="BL17" i="16" s="1"/>
  <c r="EP19" i="8"/>
  <c r="ER19" i="13"/>
  <c r="AL13" i="16"/>
  <c r="S13" i="16"/>
  <c r="H18" i="16"/>
  <c r="P13" i="16"/>
  <c r="AN13" i="20"/>
  <c r="Z13" i="17"/>
  <c r="N13" i="2"/>
  <c r="AJ19" i="8"/>
  <c r="T13" i="12"/>
  <c r="S19" i="8"/>
  <c r="BD12" i="8"/>
  <c r="BA13"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Y18" i="8"/>
  <c r="E18" i="12"/>
  <c r="T19" i="8"/>
  <c r="AW18" i="21"/>
  <c r="AB19" i="8"/>
  <c r="AC10" i="11"/>
  <c r="H13" i="12"/>
  <c r="F9" i="2"/>
  <c r="B12" i="6"/>
  <c r="H12" i="7"/>
  <c r="H15" i="2"/>
  <c r="AO9" i="11"/>
  <c r="C11" i="6"/>
  <c r="L12" i="14"/>
  <c r="B17" i="6"/>
  <c r="AO16" i="11"/>
  <c r="C17" i="6"/>
  <c r="M13" i="2"/>
  <c r="E11" i="6"/>
  <c r="B9" i="6"/>
  <c r="AO17" i="11"/>
  <c r="B16" i="6"/>
  <c r="H12" i="2"/>
  <c r="M18" i="2"/>
  <c r="N18" i="2"/>
  <c r="N19" i="2" s="1"/>
  <c r="F15" i="17"/>
  <c r="AQ15" i="17" s="1"/>
  <c r="AL11" i="11"/>
  <c r="E15" i="6"/>
  <c r="K15" i="12" s="1"/>
  <c r="D11" i="12"/>
  <c r="BF11" i="8"/>
  <c r="J11" i="7" s="1"/>
  <c r="BF9" i="8"/>
  <c r="BG9" i="8"/>
  <c r="K9" i="7" s="1"/>
  <c r="BE9" i="8"/>
  <c r="BD11" i="8"/>
  <c r="BE11" i="8"/>
  <c r="I11" i="12" s="1"/>
  <c r="BG12" i="8"/>
  <c r="K12" i="7" s="1"/>
  <c r="BE12" i="8"/>
  <c r="C10" i="6"/>
  <c r="L11" i="14"/>
  <c r="BE12" i="13"/>
  <c r="BE15" i="13"/>
  <c r="BA18" i="13"/>
  <c r="BF18" i="13" s="1"/>
  <c r="BG15" i="8"/>
  <c r="BD15" i="8"/>
  <c r="H15" i="7" s="1"/>
  <c r="BE15" i="8"/>
  <c r="BG16" i="8"/>
  <c r="K16" i="7" s="1"/>
  <c r="E18" i="2"/>
  <c r="AL15" i="11"/>
  <c r="L16" i="14"/>
  <c r="F15" i="11"/>
  <c r="AQ15" i="11" s="1"/>
  <c r="F16" i="17"/>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M15" i="11"/>
  <c r="E12" i="6"/>
  <c r="C12" i="6"/>
  <c r="AL12" i="11"/>
  <c r="C18" i="2"/>
  <c r="D18" i="2" s="1"/>
  <c r="G18" i="12"/>
  <c r="E16" i="6"/>
  <c r="C15" i="6"/>
  <c r="I15" i="12" s="1"/>
  <c r="B15" i="6"/>
  <c r="G15" i="3"/>
  <c r="I12" i="3"/>
  <c r="E12" i="3"/>
  <c r="E10" i="3"/>
  <c r="L9" i="14"/>
  <c r="AO11" i="11"/>
  <c r="AL17" i="11"/>
  <c r="F15" i="2"/>
  <c r="AL16" i="11"/>
  <c r="AO17" i="17"/>
  <c r="L15" i="14"/>
  <c r="AR13" i="21"/>
  <c r="E13" i="17"/>
  <c r="W13" i="17"/>
  <c r="I9" i="7"/>
  <c r="H9" i="7"/>
  <c r="K15" i="7"/>
  <c r="I18" i="2"/>
  <c r="G18" i="2"/>
  <c r="B18" i="6" s="1"/>
  <c r="L17" i="14"/>
  <c r="H11" i="7"/>
  <c r="B11" i="6"/>
  <c r="AL9" i="11"/>
  <c r="I15" i="7"/>
  <c r="AO15" i="11"/>
  <c r="C16" i="6"/>
  <c r="BI16" i="16"/>
  <c r="H17" i="7"/>
  <c r="AN11" i="11"/>
  <c r="D9" i="6"/>
  <c r="J9" i="12" s="1"/>
  <c r="I12" i="7"/>
  <c r="C9" i="6"/>
  <c r="I9" i="12" s="1"/>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Q16" i="17"/>
  <c r="AY21" i="21"/>
  <c r="AG18" i="11"/>
  <c r="AK18" i="11"/>
  <c r="E13" i="14"/>
  <c r="O19" i="16"/>
  <c r="I17" i="12"/>
  <c r="AQ19" i="20"/>
  <c r="D11" i="6"/>
  <c r="J11" i="12" s="1"/>
  <c r="E11" i="3"/>
  <c r="R15" i="14"/>
  <c r="BG17" i="11"/>
  <c r="P19" i="8"/>
  <c r="AO11" i="17"/>
  <c r="BG11" i="11"/>
  <c r="BA19" i="19"/>
  <c r="BG19" i="19" s="1"/>
  <c r="BD13" i="19"/>
  <c r="BF13" i="19"/>
  <c r="AD19" i="8"/>
  <c r="V19" i="8"/>
  <c r="V16" i="20"/>
  <c r="AA10" i="21"/>
  <c r="D13" i="3"/>
  <c r="N19" i="8"/>
  <c r="S12" i="17"/>
  <c r="BM11" i="11"/>
  <c r="BF9" i="11"/>
  <c r="J11" i="2"/>
  <c r="F11" i="2"/>
  <c r="BE16" i="8"/>
  <c r="I16" i="7" s="1"/>
  <c r="BB18" i="8"/>
  <c r="AK13" i="11"/>
  <c r="BA18" i="8"/>
  <c r="AR19" i="13"/>
  <c r="AJ19" i="13"/>
  <c r="N18" i="17"/>
  <c r="I9" i="3"/>
  <c r="AN19" i="8"/>
  <c r="M18" i="16"/>
  <c r="BB19" i="16"/>
  <c r="E18" i="17"/>
  <c r="AH19" i="13"/>
  <c r="R19" i="13"/>
  <c r="AP19" i="13"/>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L19" i="17"/>
  <c r="AH19" i="16"/>
  <c r="I13" i="17"/>
  <c r="BF12" i="13"/>
  <c r="G18" i="16"/>
  <c r="AX13" i="16"/>
  <c r="BQ13" i="16"/>
  <c r="BQ18" i="16"/>
  <c r="BT18" i="16"/>
  <c r="AF18" i="17"/>
  <c r="Z13" i="16"/>
  <c r="U11" i="17"/>
  <c r="W19" i="21"/>
  <c r="R13" i="16"/>
  <c r="AR13" i="17"/>
  <c r="U17" i="17"/>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U18" i="11"/>
  <c r="AA18" i="14"/>
  <c r="S18" i="14"/>
  <c r="W18" i="14"/>
  <c r="H18" i="14"/>
  <c r="Z18" i="14"/>
  <c r="X18" i="14"/>
  <c r="AD18" i="14"/>
  <c r="Q18" i="14"/>
  <c r="P18" i="14"/>
  <c r="Y18" i="14"/>
  <c r="AC18" i="14"/>
  <c r="AB18" i="14"/>
  <c r="M18" i="14"/>
  <c r="U21" i="11"/>
  <c r="U13" i="11"/>
  <c r="U19" i="11"/>
  <c r="V19" i="11" s="1"/>
  <c r="V12" i="11"/>
  <c r="O17" i="11"/>
  <c r="AW20" i="11"/>
  <c r="AV20" i="21"/>
  <c r="H20" i="17"/>
  <c r="AX20" i="21"/>
  <c r="U17" i="11"/>
  <c r="O10" i="11"/>
  <c r="BR20" i="16"/>
  <c r="AU20" i="17"/>
  <c r="BP20" i="16"/>
  <c r="B19" i="7" l="1"/>
  <c r="AI19" i="11"/>
  <c r="I12" i="12"/>
  <c r="Y13" i="11"/>
  <c r="D19" i="12"/>
  <c r="G19" i="7"/>
  <c r="F19" i="7"/>
  <c r="I10" i="12"/>
  <c r="G21" i="11"/>
  <c r="M19" i="2"/>
  <c r="H13" i="2"/>
  <c r="BE13" i="13"/>
  <c r="BG13" i="13"/>
  <c r="V10" i="11"/>
  <c r="V13" i="11"/>
  <c r="V16" i="11"/>
  <c r="U12" i="21"/>
  <c r="X11" i="16"/>
  <c r="X10" i="16"/>
  <c r="R9" i="14"/>
  <c r="V16" i="16"/>
  <c r="BM10" i="11"/>
  <c r="AP12" i="21"/>
  <c r="BH12" i="11"/>
  <c r="X17" i="16"/>
  <c r="U16" i="21"/>
  <c r="U18" i="21" s="1"/>
  <c r="BJ9" i="11"/>
  <c r="AQ18" i="21"/>
  <c r="AM17" i="11"/>
  <c r="X18" i="20"/>
  <c r="T16" i="20"/>
  <c r="X18" i="17"/>
  <c r="T18" i="11"/>
  <c r="AL18" i="11"/>
  <c r="AP18" i="21"/>
  <c r="AP18" i="20"/>
  <c r="AO15" i="17"/>
  <c r="C18" i="6"/>
  <c r="AM11" i="11"/>
  <c r="K12" i="12"/>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AS16" i="20"/>
  <c r="BE18" i="13"/>
  <c r="BD18" i="13"/>
  <c r="F18" i="11"/>
  <c r="J18" i="2"/>
  <c r="K16" i="12"/>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U21" i="17"/>
  <c r="T18" i="16"/>
  <c r="T19" i="16" s="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<sst xmlns="http://schemas.openxmlformats.org/spreadsheetml/2006/main" count="2102" uniqueCount="918">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</sst>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Oiz37jmew/Mze0HJp2OraKw76JGq+NJRa03DDzi0tg9LQuwniRnI7hJmcJaDtjjhOOkS2IQdthjETqT8M4lhg==" saltValue="EhC0LlfYS/OjTXB67J/3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743.82758620689651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877</v>
      </c>
      <c r="D16" s="224">
        <f>IF(ISNUMBER(IF(D_I="SI",Datos!I16,Datos!I16+Datos!AC16)),IF(D_I="SI",Datos!I16,Datos!I16+Datos!AC16)," - ")</f>
        <v>877</v>
      </c>
      <c r="E16" s="225">
        <f>IF(ISNUMBER(IF(D_I="SI",Datos!J16,Datos!J16+Datos!AD16)),IF(D_I="SI",Datos!J16,Datos!J16+Datos!AD16)," - ")</f>
        <v>399</v>
      </c>
      <c r="F16" s="225">
        <f>IF(ISNUMBER(IF(D_I="SI",Datos!K16,Datos!K16+Datos!AE16)),IF(D_I="SI",Datos!K16,Datos!K16+Datos!AE16)," - ")</f>
        <v>185</v>
      </c>
      <c r="G16" s="1033" t="str">
        <f>IF(Datos!E16&lt;&gt;"",Datos!E16,Datos!D16)</f>
        <v>04</v>
      </c>
      <c r="H16" s="226">
        <f>IF(ISNUMBER(IF(D_I="SI",Datos!L16,Datos!L16+Datos!AF16)),IF(D_I="SI",Datos!L16,Datos!L16+Datos!AF16)," - ")</f>
        <v>1091</v>
      </c>
      <c r="I16" s="1043" t="str">
        <f>IF(ISNUMBER(Datos!AS16/Datos!BM16),Datos!AS16/Datos!BM16," - ")</f>
        <v xml:space="preserve"> - </v>
      </c>
      <c r="J16" s="1044">
        <f>IF(ISNUMBER(Datos!BY16/Datos!CN16),Datos!BY16/Datos!CN16," - ")</f>
        <v>0</v>
      </c>
      <c r="K16" s="229">
        <f t="shared" si="3"/>
        <v>0.24401368301026224</v>
      </c>
      <c r="L16" s="1024">
        <f>IF(ISNUMBER(NºAsuntos!I16/NºAsuntos!G16),(NºAsuntos!I16/NºAsuntos!G16)*11," - ")</f>
        <v>64.870270270270268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894</v>
      </c>
      <c r="D18" s="1048">
        <f>SUBTOTAL(9,D15:D17)</f>
        <v>894</v>
      </c>
      <c r="E18" s="1049">
        <f>SUBTOTAL(9,E15:E17)</f>
        <v>399</v>
      </c>
      <c r="F18" s="1049">
        <f>SUBTOTAL(9,F15:F17)</f>
        <v>185</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894</v>
      </c>
      <c r="D19" s="1070">
        <f>SUBTOTAL(9,D9:D18)</f>
        <v>894</v>
      </c>
      <c r="E19" s="1071">
        <f>SUBTOTAL(9,E9:E18)</f>
        <v>399</v>
      </c>
      <c r="F19" s="1071">
        <f>SUBTOTAL(9,F9:F18)</f>
        <v>185</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OvzK7uS1H7wW5IzpxCcRFV5xhHP81yQxvUiUrk5ThXeZLPx2yLjOqg9cBIlJkJruboMS5V9mzxmxwF9lzc+Gw==" saltValue="h/tg3RCz2atmZmlJVJ6Q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pc3Ph2QYr4VWFZQHRztuxqspQea6I4s1gi5MUGrUViMgQHZ1ZOH0gFBy/JA8PCYzi+VMxeCUhoDFOAXUH8bPA==" saltValue="rgYNJj1u7hqoQgENG4JX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21</v>
      </c>
      <c r="T10" s="180">
        <v>0</v>
      </c>
      <c r="U10" s="180">
        <v>0</v>
      </c>
      <c r="V10" s="180">
        <v>21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0</v>
      </c>
      <c r="BA10" s="129">
        <f t="shared" si="0"/>
        <v>0</v>
      </c>
      <c r="BB10" s="129">
        <f t="shared" si="0"/>
        <v>21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3603</v>
      </c>
      <c r="J12" s="182">
        <v>261</v>
      </c>
      <c r="K12" s="182">
        <v>57</v>
      </c>
      <c r="L12" s="182">
        <v>3807</v>
      </c>
      <c r="M12" s="182">
        <v>44</v>
      </c>
      <c r="N12" s="182">
        <v>1</v>
      </c>
      <c r="O12" s="180">
        <v>0</v>
      </c>
      <c r="P12" s="182">
        <v>48</v>
      </c>
      <c r="Q12" s="182">
        <v>13</v>
      </c>
      <c r="R12" s="182">
        <v>2337</v>
      </c>
      <c r="S12" s="182">
        <v>2569</v>
      </c>
      <c r="T12" s="182">
        <v>827</v>
      </c>
      <c r="U12" s="182">
        <v>230</v>
      </c>
      <c r="V12" s="182">
        <v>3166</v>
      </c>
      <c r="W12" s="182">
        <v>73</v>
      </c>
      <c r="X12" s="188">
        <v>49</v>
      </c>
      <c r="Y12" s="190">
        <v>106</v>
      </c>
      <c r="Z12" s="180">
        <v>10</v>
      </c>
      <c r="AA12" s="180">
        <v>1</v>
      </c>
      <c r="AB12" s="180">
        <v>115</v>
      </c>
      <c r="AC12" s="182">
        <v>0</v>
      </c>
      <c r="AD12" s="182">
        <v>0</v>
      </c>
      <c r="AE12" s="182">
        <v>0</v>
      </c>
      <c r="AF12" s="188">
        <v>0</v>
      </c>
      <c r="AG12" s="201">
        <v>75</v>
      </c>
      <c r="AH12" s="182">
        <v>20</v>
      </c>
      <c r="AI12" s="182">
        <v>7</v>
      </c>
      <c r="AJ12" s="202">
        <v>88</v>
      </c>
      <c r="AK12" s="181">
        <v>0</v>
      </c>
      <c r="AL12" s="182">
        <v>0</v>
      </c>
      <c r="AM12" s="182">
        <v>0</v>
      </c>
      <c r="AN12" s="188">
        <v>0</v>
      </c>
      <c r="AO12" s="258">
        <v>2</v>
      </c>
      <c r="AP12" s="154">
        <v>2</v>
      </c>
      <c r="AQ12" s="154">
        <v>2</v>
      </c>
      <c r="AR12" s="153">
        <v>2</v>
      </c>
      <c r="AS12" s="339" t="s">
        <v>794</v>
      </c>
      <c r="AT12" s="202"/>
      <c r="AU12" s="201"/>
      <c r="AV12" s="202"/>
      <c r="AW12" s="201"/>
      <c r="AX12" s="202"/>
      <c r="AY12" s="126">
        <f t="shared" si="1"/>
        <v>2644</v>
      </c>
      <c r="AZ12" s="127">
        <f t="shared" si="1"/>
        <v>847</v>
      </c>
      <c r="BA12" s="127">
        <f t="shared" si="1"/>
        <v>237</v>
      </c>
      <c r="BB12" s="127">
        <f t="shared" si="1"/>
        <v>3254</v>
      </c>
      <c r="BC12" s="125">
        <f>IF(ISNUMBER(X12),X12," - ")</f>
        <v>49</v>
      </c>
      <c r="BD12" s="126">
        <f t="shared" si="2"/>
        <v>0.2798110979929162</v>
      </c>
      <c r="BE12" s="127">
        <f t="shared" si="3"/>
        <v>13.729957805907173</v>
      </c>
      <c r="BF12" s="127">
        <f t="shared" si="4"/>
        <v>0.20675105485232068</v>
      </c>
      <c r="BG12" s="195">
        <f t="shared" si="5"/>
        <v>14.729957805907173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3603</v>
      </c>
      <c r="J13" s="183">
        <f t="shared" si="6"/>
        <v>261</v>
      </c>
      <c r="K13" s="183">
        <f t="shared" si="6"/>
        <v>57</v>
      </c>
      <c r="L13" s="183">
        <f t="shared" si="6"/>
        <v>3807</v>
      </c>
      <c r="M13" s="183">
        <f t="shared" si="6"/>
        <v>44</v>
      </c>
      <c r="N13" s="183">
        <f t="shared" si="6"/>
        <v>1</v>
      </c>
      <c r="O13" s="183">
        <f t="shared" si="6"/>
        <v>0</v>
      </c>
      <c r="P13" s="183">
        <f t="shared" si="6"/>
        <v>48</v>
      </c>
      <c r="Q13" s="183">
        <f t="shared" si="6"/>
        <v>13</v>
      </c>
      <c r="R13" s="183">
        <f t="shared" si="6"/>
        <v>2337</v>
      </c>
      <c r="S13" s="183">
        <f t="shared" si="6"/>
        <v>2590</v>
      </c>
      <c r="T13" s="183">
        <f t="shared" si="6"/>
        <v>827</v>
      </c>
      <c r="U13" s="183">
        <f t="shared" si="6"/>
        <v>230</v>
      </c>
      <c r="V13" s="183">
        <f t="shared" si="6"/>
        <v>3187</v>
      </c>
      <c r="W13" s="183">
        <f t="shared" si="6"/>
        <v>73</v>
      </c>
      <c r="X13" s="183">
        <f t="shared" si="6"/>
        <v>49</v>
      </c>
      <c r="Y13" s="183">
        <f t="shared" si="6"/>
        <v>106</v>
      </c>
      <c r="Z13" s="183">
        <f t="shared" si="6"/>
        <v>10</v>
      </c>
      <c r="AA13" s="183">
        <f t="shared" si="6"/>
        <v>1</v>
      </c>
      <c r="AB13" s="183">
        <f t="shared" si="6"/>
        <v>115</v>
      </c>
      <c r="AC13" s="183">
        <f t="shared" si="6"/>
        <v>0</v>
      </c>
      <c r="AD13" s="183">
        <f t="shared" si="6"/>
        <v>0</v>
      </c>
      <c r="AE13" s="183">
        <f t="shared" si="6"/>
        <v>0</v>
      </c>
      <c r="AF13" s="183">
        <f>SUBTOTAL(9,AF9:AF12)</f>
        <v>0</v>
      </c>
      <c r="AG13" s="183">
        <f t="shared" ref="AG13:AT13" si="7">SUBTOTAL(9,AG8:AG12)</f>
        <v>75</v>
      </c>
      <c r="AH13" s="183">
        <f t="shared" si="7"/>
        <v>20</v>
      </c>
      <c r="AI13" s="183">
        <f t="shared" si="7"/>
        <v>7</v>
      </c>
      <c r="AJ13" s="183">
        <f t="shared" si="7"/>
        <v>88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2665</v>
      </c>
      <c r="AZ13" s="183">
        <f>SUBTOTAL(9,AZ8:AZ12)</f>
        <v>847</v>
      </c>
      <c r="BA13" s="183">
        <f>SUBTOTAL(9,BA8:BA12)</f>
        <v>237</v>
      </c>
      <c r="BB13" s="183">
        <f>SUBTOTAL(9,BB8:BB12)</f>
        <v>3275</v>
      </c>
      <c r="BC13" s="183">
        <f>SUBTOTAL(9,BC8:BC12)</f>
        <v>49</v>
      </c>
      <c r="BD13" s="204">
        <f>IF(ISNUMBER(BA13/AZ13),BA13/AZ13," - ")</f>
        <v>0.2798110979929162</v>
      </c>
      <c r="BE13" s="205">
        <f>IF(ISNUMBER(BB13/BA13),BB13/BA13, " - ")</f>
        <v>13.818565400843882</v>
      </c>
      <c r="BF13" s="205">
        <f>IF(ISNUMBER(BC13/BA13),BC13/BA13, " - ")</f>
        <v>0.20675105485232068</v>
      </c>
      <c r="BG13" s="206">
        <f>IF(ISNUMBER((AY13+AZ13)/BA13),(AY13+AZ13)/BA13," - ")</f>
        <v>14.818565400843882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877</v>
      </c>
      <c r="J16" s="182">
        <v>399</v>
      </c>
      <c r="K16" s="182">
        <v>185</v>
      </c>
      <c r="L16" s="182">
        <v>1091</v>
      </c>
      <c r="M16" s="182">
        <v>32</v>
      </c>
      <c r="N16" s="182">
        <v>140</v>
      </c>
      <c r="O16" s="180">
        <v>0</v>
      </c>
      <c r="P16" s="182">
        <v>40</v>
      </c>
      <c r="Q16" s="182">
        <v>9</v>
      </c>
      <c r="R16" s="182">
        <v>106</v>
      </c>
      <c r="S16" s="182">
        <v>977</v>
      </c>
      <c r="T16" s="182">
        <v>305</v>
      </c>
      <c r="U16" s="182">
        <v>271</v>
      </c>
      <c r="V16" s="182">
        <v>1011</v>
      </c>
      <c r="W16" s="182">
        <v>22</v>
      </c>
      <c r="X16" s="188">
        <v>183</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2</v>
      </c>
      <c r="AP16" s="154">
        <v>2</v>
      </c>
      <c r="AQ16" s="154">
        <v>2</v>
      </c>
      <c r="AR16" s="154">
        <v>2</v>
      </c>
      <c r="AS16" s="339" t="s">
        <v>487</v>
      </c>
      <c r="AT16" s="202"/>
      <c r="AU16" s="201"/>
      <c r="AV16" s="202"/>
      <c r="AW16" s="201"/>
      <c r="AX16" s="202"/>
      <c r="AY16" s="126">
        <f t="shared" si="9"/>
        <v>977</v>
      </c>
      <c r="AZ16" s="127">
        <f t="shared" si="9"/>
        <v>305</v>
      </c>
      <c r="BA16" s="127">
        <f t="shared" si="9"/>
        <v>271</v>
      </c>
      <c r="BB16" s="127">
        <f t="shared" si="9"/>
        <v>1011</v>
      </c>
      <c r="BC16" s="125">
        <f>IF(ISNUMBER(W16),W16," - ")</f>
        <v>22</v>
      </c>
      <c r="BD16" s="126">
        <f t="shared" ref="BD16" si="11">IF(ISNUMBER(BA16/AZ16),BA16/AZ16," - ")</f>
        <v>0.88852459016393448</v>
      </c>
      <c r="BE16" s="127">
        <f t="shared" ref="BE16" si="12">IF(ISNUMBER(BB16/BA16),BB16/BA16, " - ")</f>
        <v>3.7306273062730626</v>
      </c>
      <c r="BF16" s="127">
        <f t="shared" ref="BF16" si="13">IF(ISNUMBER(BC16/BA16),BC16/BA16, " - ")</f>
        <v>8.1180811808118078E-2</v>
      </c>
      <c r="BG16" s="195">
        <f t="shared" si="10"/>
        <v>4.730627306273063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0</v>
      </c>
      <c r="K17" s="182">
        <v>0</v>
      </c>
      <c r="L17" s="182">
        <v>17</v>
      </c>
      <c r="M17" s="182">
        <v>0</v>
      </c>
      <c r="N17" s="182">
        <v>0</v>
      </c>
      <c r="O17" s="182">
        <v>0</v>
      </c>
      <c r="P17" s="182">
        <v>0</v>
      </c>
      <c r="Q17" s="182">
        <v>0</v>
      </c>
      <c r="R17" s="182">
        <v>0</v>
      </c>
      <c r="S17" s="182">
        <v>53</v>
      </c>
      <c r="T17" s="182">
        <v>0</v>
      </c>
      <c r="U17" s="182">
        <v>4</v>
      </c>
      <c r="V17" s="182">
        <v>49</v>
      </c>
      <c r="W17" s="182">
        <v>0</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53</v>
      </c>
      <c r="AZ17" s="129">
        <f t="shared" si="14"/>
        <v>0</v>
      </c>
      <c r="BA17" s="129">
        <f t="shared" si="14"/>
        <v>4</v>
      </c>
      <c r="BB17" s="129">
        <f t="shared" si="14"/>
        <v>49</v>
      </c>
      <c r="BC17" s="125">
        <f>IF(ISNUMBER(W17),W17," - ")</f>
        <v>0</v>
      </c>
      <c r="BD17" s="126" t="str">
        <f>IF(ISNUMBER(BA17/AZ17),BA17/AZ17," - ")</f>
        <v xml:space="preserve"> - </v>
      </c>
      <c r="BE17" s="127">
        <f>IF(ISNUMBER(BB17/BA17),BB17/BA17, " - ")</f>
        <v>12.25</v>
      </c>
      <c r="BF17" s="127">
        <f>IF(ISNUMBER(BC17/BA17),BC17/BA17, " - ")</f>
        <v>0</v>
      </c>
      <c r="BG17" s="195">
        <f>IF(ISNUMBER((AY17+AZ17)/BA17),(AY17+AZ17)/BA17," - ")</f>
        <v>13.25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894</v>
      </c>
      <c r="J18" s="183">
        <f t="shared" si="15"/>
        <v>399</v>
      </c>
      <c r="K18" s="183">
        <f t="shared" si="15"/>
        <v>185</v>
      </c>
      <c r="L18" s="183">
        <f t="shared" si="15"/>
        <v>1108</v>
      </c>
      <c r="M18" s="183">
        <f t="shared" si="15"/>
        <v>32</v>
      </c>
      <c r="N18" s="183">
        <f t="shared" si="15"/>
        <v>140</v>
      </c>
      <c r="O18" s="183">
        <f t="shared" si="15"/>
        <v>0</v>
      </c>
      <c r="P18" s="183">
        <f t="shared" si="15"/>
        <v>40</v>
      </c>
      <c r="Q18" s="183">
        <f t="shared" si="15"/>
        <v>9</v>
      </c>
      <c r="R18" s="183">
        <f t="shared" si="15"/>
        <v>106</v>
      </c>
      <c r="S18" s="183">
        <f t="shared" si="15"/>
        <v>1030</v>
      </c>
      <c r="T18" s="183">
        <f t="shared" si="15"/>
        <v>305</v>
      </c>
      <c r="U18" s="183">
        <f t="shared" si="15"/>
        <v>275</v>
      </c>
      <c r="V18" s="183">
        <f t="shared" si="15"/>
        <v>1060</v>
      </c>
      <c r="W18" s="183">
        <f t="shared" si="15"/>
        <v>22</v>
      </c>
      <c r="X18" s="183">
        <f t="shared" si="15"/>
        <v>187</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1030</v>
      </c>
      <c r="AZ18" s="183">
        <f>SUBTOTAL(9,AZ14:AZ17)</f>
        <v>305</v>
      </c>
      <c r="BA18" s="183">
        <f>SUBTOTAL(9,BA14:BA17)</f>
        <v>275</v>
      </c>
      <c r="BB18" s="183">
        <f>SUBTOTAL(9,BB14:BB17)</f>
        <v>1060</v>
      </c>
      <c r="BC18" s="183">
        <f>SUBTOTAL(9,BC14:BC17)</f>
        <v>22</v>
      </c>
      <c r="BD18" s="204">
        <f>IF(ISNUMBER(BA18/AZ18),BA18/AZ18," - ")</f>
        <v>0.90163934426229508</v>
      </c>
      <c r="BE18" s="205">
        <f>IF(ISNUMBER(BB18/BA18),BB18/BA18, " - ")</f>
        <v>3.8545454545454545</v>
      </c>
      <c r="BF18" s="205">
        <f>IF(ISNUMBER(BC18/BA18),BC18/BA18, " - ")</f>
        <v>0.08</v>
      </c>
      <c r="BG18" s="206">
        <f>IF(ISNUMBER((AY18+AZ18)/BA18),(AY18+AZ18)/BA18," - ")</f>
        <v>4.8545454545454545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4497</v>
      </c>
      <c r="J19" s="134">
        <f t="shared" si="18"/>
        <v>660</v>
      </c>
      <c r="K19" s="134">
        <f t="shared" si="18"/>
        <v>242</v>
      </c>
      <c r="L19" s="134">
        <f t="shared" si="18"/>
        <v>4915</v>
      </c>
      <c r="M19" s="134">
        <f t="shared" si="18"/>
        <v>76</v>
      </c>
      <c r="N19" s="134">
        <f t="shared" si="18"/>
        <v>141</v>
      </c>
      <c r="O19" s="134">
        <f t="shared" si="18"/>
        <v>0</v>
      </c>
      <c r="P19" s="134">
        <f t="shared" si="18"/>
        <v>88</v>
      </c>
      <c r="Q19" s="134">
        <f t="shared" si="18"/>
        <v>22</v>
      </c>
      <c r="R19" s="134">
        <f t="shared" si="18"/>
        <v>2443</v>
      </c>
      <c r="S19" s="134">
        <f t="shared" si="18"/>
        <v>3620</v>
      </c>
      <c r="T19" s="134">
        <f t="shared" si="18"/>
        <v>1132</v>
      </c>
      <c r="U19" s="134">
        <f t="shared" si="18"/>
        <v>505</v>
      </c>
      <c r="V19" s="134">
        <f t="shared" si="18"/>
        <v>4247</v>
      </c>
      <c r="W19" s="134">
        <f t="shared" si="18"/>
        <v>95</v>
      </c>
      <c r="X19" s="134">
        <f t="shared" si="18"/>
        <v>236</v>
      </c>
      <c r="Y19" s="134">
        <f t="shared" si="18"/>
        <v>106</v>
      </c>
      <c r="Z19" s="134">
        <f t="shared" si="18"/>
        <v>10</v>
      </c>
      <c r="AA19" s="134">
        <f t="shared" si="18"/>
        <v>1</v>
      </c>
      <c r="AB19" s="134">
        <f t="shared" si="18"/>
        <v>115</v>
      </c>
      <c r="AC19" s="134">
        <f t="shared" si="18"/>
        <v>1</v>
      </c>
      <c r="AD19" s="134">
        <f t="shared" si="18"/>
        <v>0</v>
      </c>
      <c r="AE19" s="134">
        <f t="shared" si="18"/>
        <v>0</v>
      </c>
      <c r="AF19" s="134">
        <f t="shared" si="18"/>
        <v>1</v>
      </c>
      <c r="AG19" s="134">
        <f t="shared" si="18"/>
        <v>75</v>
      </c>
      <c r="AH19" s="134">
        <f t="shared" si="18"/>
        <v>20</v>
      </c>
      <c r="AI19" s="134">
        <f t="shared" si="18"/>
        <v>7</v>
      </c>
      <c r="AJ19" s="134">
        <f t="shared" si="18"/>
        <v>88</v>
      </c>
      <c r="AK19" s="134">
        <f t="shared" si="18"/>
        <v>1</v>
      </c>
      <c r="AL19" s="134">
        <f t="shared" si="18"/>
        <v>0</v>
      </c>
      <c r="AM19" s="134">
        <f t="shared" si="18"/>
        <v>0</v>
      </c>
      <c r="AN19" s="209">
        <f t="shared" si="18"/>
        <v>1</v>
      </c>
      <c r="AO19" s="210">
        <v>3</v>
      </c>
      <c r="AP19" s="210">
        <v>2</v>
      </c>
      <c r="AQ19" s="210">
        <v>2</v>
      </c>
      <c r="AR19" s="210">
        <v>2</v>
      </c>
      <c r="AS19" s="152">
        <f t="shared" si="18"/>
        <v>0</v>
      </c>
      <c r="AT19" s="152">
        <f t="shared" si="18"/>
        <v>0</v>
      </c>
      <c r="AU19" s="210"/>
      <c r="AV19" s="211"/>
      <c r="AW19" s="210"/>
      <c r="AX19" s="211"/>
      <c r="AY19" s="133">
        <f>SUBTOTAL(9,AY9:AY18)</f>
        <v>3695</v>
      </c>
      <c r="AZ19" s="134">
        <f>SUBTOTAL(9,AZ9:AZ18)</f>
        <v>1152</v>
      </c>
      <c r="BA19" s="134">
        <f>SUBTOTAL(9,BA9:BA18)</f>
        <v>512</v>
      </c>
      <c r="BB19" s="134">
        <f>SUBTOTAL(9,BB9:BB18)</f>
        <v>4335</v>
      </c>
      <c r="BC19" s="135">
        <f>SUBTOTAL(9,BC9:BC18)</f>
        <v>71</v>
      </c>
      <c r="BD19" s="212">
        <f>IF(ISNUMBER(BA19/AZ19),BA19/AZ19," - ")</f>
        <v>0.44444444444444442</v>
      </c>
      <c r="BE19" s="209">
        <f>IF(ISNUMBER(BB19/BA19),BB19/BA19, " - ")</f>
        <v>8.466796875</v>
      </c>
      <c r="BF19" s="209">
        <f>IF(ISNUMBER(BC19/BA19),BC19/BA19, " - ")</f>
        <v>0.138671875</v>
      </c>
      <c r="BG19" s="135">
        <f>IF(ISNUMBER((AY19+AZ19)/BA19),(AY19+AZ19)/BA19," - ")</f>
        <v>9.466796875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rEkpS5P8xzm6SOXs83kq7+RJGIgs/mcEAnqi2h/ZQ8NnGuTnQ4D1unzpLDyhHlAqlWcSBFP+Hezd15X2nbt7g==" saltValue="9CwS5Hi2yi1nige/E2Xt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JJt3Ni5GvTseXN9CZWIuaJUMd1+w/VKTtZTI8eROxLss4NSdmlYZy2JAoO0itOfNJR700K9Bgadmh0+4BmpQ==" saltValue="oz3WQBlkLXrudx0PSAlq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ORGAZ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115</v>
      </c>
      <c r="AI12" s="333" t="str">
        <f>IF(ISNUMBER(Datos!CD12),Datos!CD12,"-")</f>
        <v>-</v>
      </c>
      <c r="AJ12" s="333" t="str">
        <f>IF(ISNUMBER(Datos!EN12),Datos!EN12," - ")</f>
        <v xml:space="preserve"> - </v>
      </c>
      <c r="AK12" s="333"/>
      <c r="AL12" s="478"/>
      <c r="AM12" s="334">
        <f>IF(ISNUMBER(Datos!R12),Datos!R12," - ")</f>
        <v>2337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44</v>
      </c>
      <c r="BD12" s="228">
        <f>IF(ISNUMBER(Datos!N12),Datos!N12," - ")</f>
        <v>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0.2140221402214022</v>
      </c>
      <c r="BH12" s="259">
        <f>IF(ISNUMBER(((IF(J_V="SI",Datos!L12/Datos!K12,(Datos!L12+Datos!AB12)/(Datos!K12+Datos!AA12)))*11)/factor_trimestre),((IF(J_V="SI",Datos!L12/Datos!K12,(Datos!L12+Datos!AB12)/(Datos!K12+Datos!AA12)))*11)/factor_trimestre," - ")</f>
        <v>135.24137931034483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1.5204170286707211E-2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10</v>
      </c>
      <c r="O13" s="899">
        <f t="shared" si="0"/>
        <v>0</v>
      </c>
      <c r="P13" s="899">
        <f t="shared" si="0"/>
        <v>0</v>
      </c>
      <c r="Q13" s="898">
        <f t="shared" si="0"/>
        <v>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v>
      </c>
      <c r="AD13" s="898">
        <f t="shared" si="1"/>
        <v>0</v>
      </c>
      <c r="AE13" s="898">
        <f t="shared" si="1"/>
        <v>0</v>
      </c>
      <c r="AF13" s="898">
        <f t="shared" si="1"/>
        <v>0</v>
      </c>
      <c r="AG13" s="898">
        <f t="shared" si="1"/>
        <v>0</v>
      </c>
      <c r="AH13" s="898">
        <f t="shared" si="1"/>
        <v>115</v>
      </c>
      <c r="AI13" s="898">
        <f t="shared" si="1"/>
        <v>0</v>
      </c>
      <c r="AJ13" s="898">
        <f t="shared" si="1"/>
        <v>0</v>
      </c>
      <c r="AK13" s="898">
        <f t="shared" si="1"/>
        <v>0</v>
      </c>
      <c r="AL13" s="898">
        <f t="shared" si="1"/>
        <v>0</v>
      </c>
      <c r="AM13" s="898">
        <f t="shared" si="1"/>
        <v>2337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v>
      </c>
      <c r="BD13" s="898">
        <f t="shared" si="1"/>
        <v>1</v>
      </c>
      <c r="BE13" s="898">
        <f t="shared" si="1"/>
        <v>0</v>
      </c>
      <c r="BF13" s="898">
        <f t="shared" si="1"/>
        <v>0</v>
      </c>
      <c r="BG13" s="898">
        <f>IF(ISNUMBER(Datos!K13/Datos!J13),Datos!K13/Datos!J13," - ")</f>
        <v>0.21839080459770116</v>
      </c>
      <c r="BH13" s="902">
        <f>IF(ISNUMBER(((Datos!L13/Datos!K13)*11)/factor_trimestre),((Datos!L13/Datos!K13)*11)/factor_trimestre," - ")</f>
        <v>133.57894736842104</v>
      </c>
      <c r="BI13" s="898">
        <f>IF(ISNUMBER('Resol  Asuntos'!D13/NºAsuntos!G13),'Resol  Asuntos'!D13/NºAsuntos!G13," - ")</f>
        <v>0.75862068965517238</v>
      </c>
      <c r="BJ13" s="898" t="str">
        <f>IF(ISNUMBER(Datos!CI13/Datos!CJ13),Datos!CI13/Datos!CJ13," - ")</f>
        <v xml:space="preserve"> - </v>
      </c>
      <c r="BK13" s="898">
        <f>SUBTOTAL(9,BK8:BK12)</f>
        <v>0</v>
      </c>
      <c r="BL13" s="898" t="str">
        <f>IF(ISNUMBER((I13-AB13+L13)/(F13)),(I13-AB13+L13)/(F13)," - ")</f>
        <v xml:space="preserve"> - </v>
      </c>
      <c r="BM13" s="903">
        <f>SUBTOTAL(9,BM9:BM12)</f>
        <v>1.5204170286707211E-2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877</v>
      </c>
      <c r="G16" s="597">
        <f>IF(ISNUMBER(IF(D_I="SI",Datos!I16,Datos!I16+Datos!AC16)),IF(D_I="SI",Datos!I16,Datos!I16+Datos!AC16)," - ")</f>
        <v>877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185</v>
      </c>
      <c r="AC16" s="225">
        <f>IF(ISNUMBER(Datos!Q16),Datos!Q16," - ")</f>
        <v>9</v>
      </c>
      <c r="AD16" s="333"/>
      <c r="AE16" s="483"/>
      <c r="AF16" s="595">
        <f>IF(ISNUMBER(IF(D_I="SI",Datos!L16,Datos!L16+Datos!AF16)),IF(D_I="SI",Datos!L16,Datos!L16+Datos!AF16)," - ")</f>
        <v>1091</v>
      </c>
      <c r="AG16" s="333"/>
      <c r="AH16" s="333"/>
      <c r="AI16" s="333"/>
      <c r="AJ16" s="333"/>
      <c r="AK16" s="333"/>
      <c r="AL16" s="478"/>
      <c r="AM16" s="334">
        <f>IF(ISNUMBER(Datos!R16),Datos!R16," - ")</f>
        <v>106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0.46365914786967416</v>
      </c>
      <c r="BH16" s="259">
        <f>IF(ISNUMBER(((IF(D_I="SI",Datos!L16/Datos!K16,(Datos!L16+Datos!AF16)/(Datos!K16+Datos!AE16)))*11)/factor_trimestre),((IF(D_I="SI",Datos!L16/Datos!K16,(Datos!L16+Datos!AF16)/(Datos!K16+Datos!AE16)))*11)/factor_trimestre," - ")</f>
        <v>11.794594594594594</v>
      </c>
      <c r="BI16" s="242">
        <f>IF(ISNUMBER('Resol  Asuntos'!D16/NºAsuntos!G16),'Resol  Asuntos'!D16/NºAsuntos!G16," - ")</f>
        <v>0.17297297297297298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877</v>
      </c>
      <c r="G18" s="897">
        <f>SUBTOTAL(9,G15:G17)</f>
        <v>894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185</v>
      </c>
      <c r="AC18" s="898">
        <f t="shared" si="4"/>
        <v>9</v>
      </c>
      <c r="AD18" s="898">
        <f t="shared" si="4"/>
        <v>0</v>
      </c>
      <c r="AE18" s="898">
        <f t="shared" si="4"/>
        <v>0</v>
      </c>
      <c r="AF18" s="898">
        <f t="shared" si="4"/>
        <v>1108</v>
      </c>
      <c r="AG18" s="898">
        <f t="shared" si="4"/>
        <v>0</v>
      </c>
      <c r="AH18" s="898">
        <f t="shared" si="4"/>
        <v>0</v>
      </c>
      <c r="AI18" s="898">
        <f t="shared" si="4"/>
        <v>0</v>
      </c>
      <c r="AJ18" s="898">
        <f t="shared" si="4"/>
        <v>0</v>
      </c>
      <c r="AK18" s="898">
        <f t="shared" si="4"/>
        <v>0</v>
      </c>
      <c r="AL18" s="898">
        <f t="shared" si="4"/>
        <v>0</v>
      </c>
      <c r="AM18" s="898">
        <f t="shared" si="4"/>
        <v>106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140</v>
      </c>
      <c r="BE18" s="898">
        <f t="shared" si="4"/>
        <v>0</v>
      </c>
      <c r="BF18" s="898">
        <f t="shared" si="4"/>
        <v>0</v>
      </c>
      <c r="BG18" s="898">
        <f>IF(ISNUMBER(Datos!K18/Datos!J18),Datos!K18/Datos!J18," - ")</f>
        <v>0.46365914786967416</v>
      </c>
      <c r="BH18" s="902">
        <f>IF(ISNUMBER(((Datos!L18/Datos!K18)*11)/factor_trimestre),((Datos!L18/Datos!K18)*11)/factor_trimestre," - ")</f>
        <v>11.978378378378379</v>
      </c>
      <c r="BI18" s="898">
        <f>SUBTOTAL(9,BI15:BI17)</f>
        <v>0.17297297297297298</v>
      </c>
      <c r="BJ18" s="898">
        <f>SUBTOTAL(9,BJ15:BJ17)</f>
        <v>0</v>
      </c>
      <c r="BK18" s="898">
        <f>SUBTOTAL(9,BK15:BK17)</f>
        <v>0</v>
      </c>
      <c r="BL18" s="898">
        <f>IF(ISNUMBER((I18-AB18+L18)/(F18)),(I18-AB18+L18)/(F18)," - ")</f>
        <v>-0.21094640820980615</v>
      </c>
      <c r="BM18" s="904">
        <f>IF(ISNUMBER((Datos!P18-Datos!Q18)/(Datos!R18-Datos!P18+Datos!Q18)),(Datos!P18-Datos!Q18)/(Datos!R18-Datos!P18+Datos!Q18)," - ")</f>
        <v>0.41333333333333333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877</v>
      </c>
      <c r="G19" s="819">
        <f t="shared" si="6"/>
        <v>894</v>
      </c>
      <c r="H19" s="821">
        <f t="shared" si="6"/>
        <v>0</v>
      </c>
      <c r="I19" s="819">
        <f t="shared" si="6"/>
        <v>0</v>
      </c>
      <c r="J19" s="821">
        <f t="shared" si="6"/>
        <v>0</v>
      </c>
      <c r="K19" s="821">
        <f t="shared" si="6"/>
        <v>0</v>
      </c>
      <c r="L19" s="880">
        <f t="shared" si="6"/>
        <v>0</v>
      </c>
      <c r="M19" s="880">
        <f t="shared" si="6"/>
        <v>0</v>
      </c>
      <c r="N19" s="880">
        <f t="shared" si="6"/>
        <v>10</v>
      </c>
      <c r="O19" s="880">
        <f t="shared" si="6"/>
        <v>0</v>
      </c>
      <c r="P19" s="880">
        <f t="shared" si="6"/>
        <v>0</v>
      </c>
      <c r="Q19" s="821">
        <f t="shared" si="6"/>
        <v>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185</v>
      </c>
      <c r="AC19" s="820">
        <f t="shared" si="7"/>
        <v>22</v>
      </c>
      <c r="AD19" s="820">
        <f t="shared" si="7"/>
        <v>0</v>
      </c>
      <c r="AE19" s="820">
        <f t="shared" si="7"/>
        <v>0</v>
      </c>
      <c r="AF19" s="827">
        <f t="shared" si="7"/>
        <v>1108</v>
      </c>
      <c r="AG19" s="827">
        <f t="shared" si="7"/>
        <v>0</v>
      </c>
      <c r="AH19" s="827">
        <f t="shared" si="7"/>
        <v>115</v>
      </c>
      <c r="AI19" s="827">
        <f t="shared" si="7"/>
        <v>0</v>
      </c>
      <c r="AJ19" s="820">
        <f t="shared" si="7"/>
        <v>0</v>
      </c>
      <c r="AK19" s="827">
        <f t="shared" si="7"/>
        <v>0</v>
      </c>
      <c r="AL19" s="827">
        <f t="shared" si="7"/>
        <v>0</v>
      </c>
      <c r="AM19" s="827">
        <f t="shared" si="7"/>
        <v>2443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76</v>
      </c>
      <c r="BD19" s="819">
        <f t="shared" si="7"/>
        <v>141</v>
      </c>
      <c r="BE19" s="819">
        <f t="shared" si="7"/>
        <v>0</v>
      </c>
      <c r="BF19" s="829">
        <f t="shared" si="7"/>
        <v>0</v>
      </c>
      <c r="BG19" s="914">
        <f>IF(ISNUMBER(Datos!K19/Datos!J19),Datos!K19/Datos!J19," - ")</f>
        <v>0.36666666666666664</v>
      </c>
      <c r="BH19" s="914">
        <f>IF(ISNUMBER(((Datos!L19/Datos!K19)*11)/factor_trimestre),((Datos!L19/Datos!K19)*11)/factor_trimestre," - ")</f>
        <v>40.619834710743802</v>
      </c>
      <c r="BI19" s="812">
        <f>IF(ISNUMBER(Datos!J19/Datos!I19),Datos!J19/Datos!I19," - ")</f>
        <v>0.14676450967311541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-0.21094640820980615</v>
      </c>
      <c r="BM19" s="888">
        <f>IF(ISNUMBER((Datos!P19-Datos!Q19+R19)/(Datos!R19-Datos!P19+Datos!Q19-R19)),(Datos!P19-Datos!Q19+R19)/(Datos!R19-Datos!P19+Datos!Q19-R19)," - ")</f>
        <v>2.7766091712242324E-2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506.3361860793018</v>
      </c>
      <c r="G21" s="551">
        <f>IF(ISNUMBER(STDEV(G8:G18)),STDEV(G8:G18),"-")</f>
        <v>481.99201238194809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101.32867313845573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20.343713197611361</v>
      </c>
      <c r="BD21" s="550"/>
      <c r="BE21" s="550">
        <f>IF(ISNUMBER(STDEV(BE8:BE18)),STDEV(BE8:BE18),"-")</f>
        <v>0</v>
      </c>
      <c r="BF21" s="555">
        <f>IF(ISNUMBER(STDEV(BF8:BF18)),STDEV(BF8:BF18),"-")</f>
        <v>0</v>
      </c>
      <c r="BG21" s="774">
        <f>IF(ISNUMBER(STDEV(BG8:BG18)),STDEV(BG8:BG18),"-")</f>
        <v>0.14287800064692621</v>
      </c>
      <c r="BH21" s="775">
        <f>IF(ISNUMBER(STDEV(BH8:BH18)),STDEV(BH8:BH18),"-")</f>
        <v>70.742373246810985</v>
      </c>
      <c r="BI21" s="248">
        <f>IF(ISNUMBER(STDEV(BI8:BI18)),STDEV(BI8:BI18),"-")</f>
        <v>0.3381238668767575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qavO20cYceE3W2urLCe6AoTvDLbGZ7iaPayt3yC7gjc3rHqeSum/bFKhmJaZdUjjNzgmFnAwMPHX7bz/Eca5g==" saltValue="hemegymJadpMMEJwUWx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ORGAZ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v>
      </c>
      <c r="AA12" s="331" t="str">
        <f>IF(ISNUMBER(IF(J_V="SI",Datos!L12,Datos!L12+Datos!AB12)-IF(Monitorios="SI",Datos!CD12,0)),
                          IF(J_V="SI",Datos!L12,Datos!L12+Datos!AB12)-IF(Monitorios="SI",Datos!CD12,0),
                          " - ")</f>
        <v xml:space="preserve"> - </v>
      </c>
      <c r="AB12" s="333"/>
      <c r="AC12" s="333"/>
      <c r="AD12" s="483"/>
      <c r="AE12" s="483">
        <f>IF(ISNUMBER(Datos!R12),Datos!R12," - ")</f>
        <v>2337</v>
      </c>
      <c r="AF12" s="228" t="str">
        <f>IF(ISNUMBER(Datos!BV12),Datos!BV12," - ")</f>
        <v xml:space="preserve"> - </v>
      </c>
      <c r="AG12" s="224" t="str">
        <f>IF(ISNUMBER(Datos!DV12),Datos!DV12," - ")</f>
        <v xml:space="preserve"> - </v>
      </c>
      <c r="AH12" s="297"/>
      <c r="AI12" s="226"/>
      <c r="AJ12" s="224">
        <f>IF(ISNUMBER(Datos!M12),Datos!M12," - ")</f>
        <v>44</v>
      </c>
      <c r="AK12" s="228">
        <f>IF(ISNUMBER(Datos!N12),Datos!N12," - ")</f>
        <v>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135.24137931034483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1.5204170286707211E-2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v>
      </c>
      <c r="AA13" s="899">
        <f t="shared" si="2"/>
        <v>0</v>
      </c>
      <c r="AB13" s="899">
        <f t="shared" si="2"/>
        <v>0</v>
      </c>
      <c r="AC13" s="899">
        <f t="shared" si="2"/>
        <v>0</v>
      </c>
      <c r="AD13" s="899">
        <f t="shared" si="2"/>
        <v>0</v>
      </c>
      <c r="AE13" s="899">
        <f t="shared" si="2"/>
        <v>2337</v>
      </c>
      <c r="AF13" s="907">
        <f t="shared" si="2"/>
        <v>0</v>
      </c>
      <c r="AG13" s="907">
        <f t="shared" si="2"/>
        <v>0</v>
      </c>
      <c r="AH13" s="907">
        <f t="shared" si="2"/>
        <v>0</v>
      </c>
      <c r="AI13" s="907">
        <f t="shared" si="2"/>
        <v>0</v>
      </c>
      <c r="AJ13" s="907">
        <f t="shared" si="2"/>
        <v>44</v>
      </c>
      <c r="AK13" s="907">
        <f t="shared" si="2"/>
        <v>1</v>
      </c>
      <c r="AL13" s="907">
        <f t="shared" si="2"/>
        <v>0</v>
      </c>
      <c r="AM13" s="907">
        <f t="shared" si="2"/>
        <v>0</v>
      </c>
      <c r="AN13" s="907">
        <f t="shared" si="2"/>
        <v>0</v>
      </c>
      <c r="AO13" s="903">
        <f>IF(ISNUMBER(((NºAsuntos!I13/NºAsuntos!G13)*11)/factor_trimestre),((NºAsuntos!I13/NºAsuntos!G13)*11)/factor_trimestre," - ")</f>
        <v>135.24137931034483</v>
      </c>
      <c r="AP13" s="909" t="str">
        <f>IF(ISNUMBER(Datos!CI13/Datos!CJ13),Datos!CI13/Datos!CJ13," - ")</f>
        <v xml:space="preserve"> - </v>
      </c>
      <c r="AQ13" s="927">
        <f t="shared" ref="AQ13:AV13" si="3">SUBTOTAL(9,AQ9:AQ12)</f>
        <v>0</v>
      </c>
      <c r="AR13" s="927">
        <f t="shared" si="3"/>
        <v>1.5204170286707211E-2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877</v>
      </c>
      <c r="G16" s="224">
        <f>IF(ISNUMBER(IF(D_I="SI",Datos!I16,Datos!I16+Datos!AC16)),IF(D_I="SI",Datos!I16,Datos!I16+Datos!AC16)," - ")</f>
        <v>877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185</v>
      </c>
      <c r="Z16" s="618">
        <f>IF(ISNUMBER(Datos!Q16),Datos!Q16," - ")</f>
        <v>9</v>
      </c>
      <c r="AA16" s="331">
        <f>IF(ISNUMBER(IF(D_I="SI",Datos!L16,Datos!L16+Datos!AF16)),IF(D_I="SI",Datos!L16,Datos!L16+Datos!AF16)," - ")</f>
        <v>1091</v>
      </c>
      <c r="AB16" s="333"/>
      <c r="AC16" s="333"/>
      <c r="AD16" s="483"/>
      <c r="AE16" s="483">
        <f>IF(ISNUMBER(Datos!R16),Datos!R16," - ")</f>
        <v>106</v>
      </c>
      <c r="AF16" s="228" t="str">
        <f>IF(ISNUMBER(Datos!BV16),Datos!BV16," - ")</f>
        <v xml:space="preserve"> - </v>
      </c>
      <c r="AG16" s="224"/>
      <c r="AH16" s="297"/>
      <c r="AI16" s="226"/>
      <c r="AJ16" s="224">
        <f>IF(ISNUMBER(Datos!M16),Datos!M16," - ")</f>
        <v>32</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11.794594594594594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877</v>
      </c>
      <c r="G18" s="897">
        <f>SUBTOTAL(9,G15:G17)</f>
        <v>894</v>
      </c>
      <c r="H18" s="931">
        <f>SUBTOTAL(9,H15:H17)</f>
        <v>0</v>
      </c>
      <c r="I18" s="910">
        <f>SUBTOTAL(9,I15:I17)</f>
        <v>0</v>
      </c>
      <c r="J18" s="866">
        <f>SUBTOTAL(9,J14:J17)</f>
        <v>0</v>
      </c>
      <c r="K18" s="931">
        <f t="shared" ref="K18:S18" si="4">SUBTOTAL(9,K15:K17)</f>
        <v>0</v>
      </c>
      <c r="L18" s="931">
        <f t="shared" si="4"/>
        <v>0</v>
      </c>
      <c r="M18" s="931">
        <f t="shared" si="4"/>
        <v>0</v>
      </c>
      <c r="N18" s="931">
        <f t="shared" si="4"/>
        <v>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185</v>
      </c>
      <c r="Z18" s="931">
        <f t="shared" si="5"/>
        <v>9</v>
      </c>
      <c r="AA18" s="931">
        <f t="shared" si="5"/>
        <v>1108</v>
      </c>
      <c r="AB18" s="931">
        <f t="shared" si="5"/>
        <v>0</v>
      </c>
      <c r="AC18" s="931">
        <f t="shared" si="5"/>
        <v>0</v>
      </c>
      <c r="AD18" s="931">
        <f t="shared" si="5"/>
        <v>0</v>
      </c>
      <c r="AE18" s="931">
        <f t="shared" si="5"/>
        <v>106</v>
      </c>
      <c r="AF18" s="931">
        <f t="shared" si="5"/>
        <v>0</v>
      </c>
      <c r="AG18" s="931">
        <f t="shared" si="5"/>
        <v>0</v>
      </c>
      <c r="AH18" s="931">
        <f t="shared" si="5"/>
        <v>0</v>
      </c>
      <c r="AI18" s="931">
        <f t="shared" si="5"/>
        <v>0</v>
      </c>
      <c r="AJ18" s="931">
        <f t="shared" si="5"/>
        <v>32</v>
      </c>
      <c r="AK18" s="931">
        <f t="shared" si="5"/>
        <v>140</v>
      </c>
      <c r="AL18" s="931">
        <f t="shared" si="5"/>
        <v>0</v>
      </c>
      <c r="AM18" s="931">
        <f t="shared" si="5"/>
        <v>0</v>
      </c>
      <c r="AN18" s="931">
        <f t="shared" si="5"/>
        <v>0</v>
      </c>
      <c r="AO18" s="933">
        <f>IF(ISNUMBER(((NºAsuntos!I18/NºAsuntos!G18)*11)/factor_trimestre),((NºAsuntos!I18/NºAsuntos!G18)*11)/factor_trimestre," - ")</f>
        <v>11.978378378378379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877</v>
      </c>
      <c r="G19" s="819">
        <f t="shared" si="7"/>
        <v>894</v>
      </c>
      <c r="H19" s="820">
        <f t="shared" si="7"/>
        <v>0</v>
      </c>
      <c r="I19" s="819">
        <f t="shared" si="7"/>
        <v>0</v>
      </c>
      <c r="J19" s="821">
        <f t="shared" si="7"/>
        <v>0</v>
      </c>
      <c r="K19" s="819">
        <f t="shared" si="7"/>
        <v>0</v>
      </c>
      <c r="L19" s="822">
        <f t="shared" si="7"/>
        <v>0</v>
      </c>
      <c r="M19" s="819">
        <f t="shared" si="7"/>
        <v>0</v>
      </c>
      <c r="N19" s="820">
        <f t="shared" si="7"/>
        <v>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185</v>
      </c>
      <c r="Z19" s="826">
        <f t="shared" si="8"/>
        <v>22</v>
      </c>
      <c r="AA19" s="827">
        <f t="shared" si="8"/>
        <v>1108</v>
      </c>
      <c r="AB19" s="827">
        <f t="shared" si="8"/>
        <v>0</v>
      </c>
      <c r="AC19" s="827">
        <f t="shared" si="8"/>
        <v>0</v>
      </c>
      <c r="AD19" s="828">
        <f t="shared" si="8"/>
        <v>0</v>
      </c>
      <c r="AE19" s="828">
        <f t="shared" si="8"/>
        <v>2443</v>
      </c>
      <c r="AF19" s="829">
        <f t="shared" si="8"/>
        <v>0</v>
      </c>
      <c r="AG19" s="830">
        <f t="shared" si="8"/>
        <v>0</v>
      </c>
      <c r="AH19" s="831">
        <f t="shared" si="8"/>
        <v>0</v>
      </c>
      <c r="AI19" s="829">
        <f t="shared" si="8"/>
        <v>0</v>
      </c>
      <c r="AJ19" s="819">
        <f t="shared" si="8"/>
        <v>76</v>
      </c>
      <c r="AK19" s="819">
        <f t="shared" si="8"/>
        <v>141</v>
      </c>
      <c r="AL19" s="819">
        <f t="shared" si="8"/>
        <v>0</v>
      </c>
      <c r="AM19" s="832">
        <f t="shared" si="8"/>
        <v>0</v>
      </c>
      <c r="AN19" s="822">
        <f>IF(ISNUMBER(Datos!K19/Datos!J19),Datos!K19/Datos!J19," - ")</f>
        <v>0.36666666666666664</v>
      </c>
      <c r="AO19" s="822">
        <f>IF(ISNUMBER(FIND("06",Criterios!A8,1)),(IF(ISNUMBER(((Datos!R19/Datos!Q19)*11)/factor_trimestre),((Datos!R19/Datos!Q19)*11)/factor_trimestre," - ")),(IF(ISNUMBER(((Datos!L19/Datos!K19)*11)/factor_trimestre),((Datos!L19/Datos!K19)*11)/factor_trimestre," - ")))</f>
        <v>40.619834710743802</v>
      </c>
      <c r="AP19" s="833" t="str">
        <f>IF(ISNUMBER(Datos!CI19/Datos!CJ19),Datos!CI19/Datos!CJ19," - ")</f>
        <v xml:space="preserve"> - </v>
      </c>
      <c r="AQ19" s="833">
        <f>IF(OR(ISNUMBER(FIND("01",Criterios!A8,1)),ISNUMBER(FIND("02",Criterios!A8,1)),ISNUMBER(FIND("03",Criterios!A8,1)),ISNUMBER(FIND("04",Criterios!A8,1))),(J19-Y19+K19)/(F19-K19),(I19-Y19+K19)/(F19-K19))</f>
        <v>-0.21094640820980615</v>
      </c>
      <c r="AR19" s="833">
        <f>IF(ISNUMBER((Datos!P19-Datos!Q19+O19)/(Datos!R19-Datos!P19+Datos!Q19-O19)),(Datos!P19-Datos!Q19+O19)/(Datos!R19-Datos!P19+Datos!Q19-O19)," - ")</f>
        <v>2.7766091712242324E-2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506.3361860793018</v>
      </c>
      <c r="G21" s="551">
        <f>IF(ISNUMBER(STDEV(G8:G18)),STDEV(G8:G18),"-")</f>
        <v>481.99201238194809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20.343713197611361</v>
      </c>
      <c r="AK21" s="251"/>
      <c r="AL21" s="251">
        <f>IF(ISNUMBER(STDEV(AL8:AL18)),STDEV(AL8:AL18),"-")</f>
        <v>0</v>
      </c>
      <c r="AM21" s="253">
        <f>IF(ISNUMBER(STDEV(AM8:AM18)),STDEV(AM8:AM18),"-")</f>
        <v>0</v>
      </c>
      <c r="AN21" s="538">
        <f>IF(ISNUMBER(STDEV(AN8:AN18)),STDEV(AN8:AN18),"-")</f>
        <v>0</v>
      </c>
      <c r="AO21" s="539">
        <f>IF(ISNUMBER(STDEV(AO8:AO18)),STDEV(AO8:AO18),"-")</f>
        <v>71.219020099561348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F4Syo2dBOMvPncgvrBU+17kapkX/ZiJKfLR3q5IC/lc8GE8ZAgCUZkTmYyW7X5FofMHqUwEO41X5sf5IDqA4Q==" saltValue="26POE9rdrtijvaFXWz2o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O6fx2pN8J6PC2C9i5ogChhp+c5G3G3zKSzxmq1gajY1DXmiWG1Jh8Ti4/B919je77EhP0mv6rj616fYabxTg==" saltValue="fB7KbyPqha6Vw1mgguhD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OQjleSH+L+j133cYMSR+pBhMGoysdQnLPQ0oiZxiR3xg3vUYzTRIRaCz84ludqqqjdz3RjqELxdXnRl0b5dw==" saltValue="Ibfg0zzSTB0REpagz1Ih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ORGAZ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0.75862068965517238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0.53642583400358779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3g+lNd4I6gUG+o8SsxT/03+lYBEB9lyriDaV4gE35aeky+85qIGPRu2TgoWWbhNCHvpo92xi61/UOVqxVsF9g==" saltValue="ZSrA53eq+uwBjaA1OwdM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Ssu6JYPKRnXmCF+rklYBp8U3gOvHEYCkcC6PFsR8qhu0vxV9FbFauR82FhraMSSRZomy6x4YVmthzMOfnxoRw==" saltValue="9bJK6kNddvUcOC+uIV7y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ORGAZ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3709</v>
      </c>
      <c r="D12" s="403">
        <f>IF(ISNUMBER(C12/Datos!BH12),C12/Datos!BH12," - ")</f>
        <v>1854.5</v>
      </c>
      <c r="E12" s="402">
        <f>IF(ISNUMBER(IF(J_V="SI",Datos!J12,Datos!J12+Datos!Z12)),IF(J_V="SI",Datos!J12,Datos!J12+Datos!Z12)," - ")</f>
        <v>271</v>
      </c>
      <c r="F12" s="403">
        <f>IF(ISNUMBER(E12/B12),E12/B12," - ")</f>
        <v>135.5</v>
      </c>
      <c r="G12" s="402">
        <f>IF(ISNUMBER(IF(J_V="SI",Datos!K12,Datos!K12+Datos!AA12)),IF(J_V="SI",Datos!K12,Datos!K12+Datos!AA12)," - ")</f>
        <v>58</v>
      </c>
      <c r="H12" s="403">
        <f>IF(ISNUMBER(G12/B12),G12/B12," - ")</f>
        <v>29</v>
      </c>
      <c r="I12" s="402">
        <f>IF(ISNUMBER(IF(J_V="SI",Datos!L12,Datos!L12+Datos!AB12)),IF(J_V="SI",Datos!L12,Datos!L12+Datos!AB12)," - ")</f>
        <v>3922</v>
      </c>
      <c r="J12" s="403">
        <f>IF(ISNUMBER(I12/B12),I12/B12," - ")</f>
        <v>1961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3709</v>
      </c>
      <c r="D13" s="849" t="str">
        <f>IF(ISNUMBER(C13/Datos!BI13),C13/Datos!BI13," - ")</f>
        <v xml:space="preserve"> - </v>
      </c>
      <c r="E13" s="848">
        <f>SUBTOTAL(9,E8:E12)</f>
        <v>271</v>
      </c>
      <c r="F13" s="849">
        <f>IF(ISNUMBER(E13/B13),E13/B13," - ")</f>
        <v>135.5</v>
      </c>
      <c r="G13" s="848">
        <f>SUBTOTAL(9,G8:G12)</f>
        <v>58</v>
      </c>
      <c r="H13" s="849">
        <f>IF(ISNUMBER(G13/B13),G13/B13," - ")</f>
        <v>29</v>
      </c>
      <c r="I13" s="848">
        <f>SUBTOTAL(9,I8:I12)</f>
        <v>3922</v>
      </c>
      <c r="J13" s="849">
        <f>IF(ISNUMBER(I13/B13),I13/B13," - ")</f>
        <v>1961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877</v>
      </c>
      <c r="D16" s="403">
        <f>IF(ISNUMBER(C16/Datos!BH16),C16/Datos!BH16," - ")</f>
        <v>438.5</v>
      </c>
      <c r="E16" s="402">
        <f>IF(ISNUMBER(IF(D_I="SI",Datos!J16,Datos!J16+Datos!AD16)),IF(D_I="SI",Datos!J16,Datos!J16+Datos!AD16)," - ")</f>
        <v>399</v>
      </c>
      <c r="F16" s="403">
        <f>IF(ISNUMBER(E16/B16),E16/B16," - ")</f>
        <v>199.5</v>
      </c>
      <c r="G16" s="402">
        <f>IF(ISNUMBER(IF(D_I="SI",Datos!K16,Datos!K16+Datos!AE16)),IF(D_I="SI",Datos!K16,Datos!K16+Datos!AE16)," - ")</f>
        <v>185</v>
      </c>
      <c r="H16" s="403">
        <f>IF(ISNUMBER(G16/B16),G16/B16," - ")</f>
        <v>92.5</v>
      </c>
      <c r="I16" s="402">
        <f>IF(ISNUMBER(IF(D_I="SI",Datos!L16,Datos!L16+Datos!AF16)),IF(D_I="SI",Datos!L16,Datos!L16+Datos!AF16)," - ")</f>
        <v>1091</v>
      </c>
      <c r="J16" s="403">
        <f>IF(ISNUMBER(I16/B16),I16/B16," - ")</f>
        <v>545.5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894</v>
      </c>
      <c r="D18" s="849" t="str">
        <f>IF(ISNUMBER(C18/Datos!BI18),C18/Datos!BI18," - ")</f>
        <v xml:space="preserve"> - </v>
      </c>
      <c r="E18" s="848">
        <f>SUBTOTAL(9,E14:E17)</f>
        <v>399</v>
      </c>
      <c r="F18" s="849">
        <f>IF(ISNUMBER(E18/B18),E18/B18," - ")</f>
        <v>199.5</v>
      </c>
      <c r="G18" s="848">
        <f>SUBTOTAL(9,G14:G17)</f>
        <v>185</v>
      </c>
      <c r="H18" s="849">
        <f>IF(ISNUMBER(G18/B18),G18/B18," - ")</f>
        <v>92.5</v>
      </c>
      <c r="I18" s="848">
        <f>SUBTOTAL(9,I14:I17)</f>
        <v>1108</v>
      </c>
      <c r="J18" s="849">
        <f>IF(ISNUMBER(I18/B18),I18/B18," - ")</f>
        <v>554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4603</v>
      </c>
      <c r="D19" s="794" t="str">
        <f>IF(ISNUMBER(C19/Datos!BI19),C19/Datos!BI19," - ")</f>
        <v xml:space="preserve"> - </v>
      </c>
      <c r="E19" s="793">
        <f>SUBTOTAL(9,E9:E18)</f>
        <v>670</v>
      </c>
      <c r="F19" s="794">
        <f>IF(ISNUMBER(E19/B19),E19/B19," - ")</f>
        <v>335</v>
      </c>
      <c r="G19" s="793">
        <f>SUBTOTAL(9,G9:G18)</f>
        <v>243</v>
      </c>
      <c r="H19" s="794">
        <f>IF(ISNUMBER(G19/B19),G19/B19," - ")</f>
        <v>121.5</v>
      </c>
      <c r="I19" s="793">
        <f>SUBTOTAL(9,I9:I18)</f>
        <v>5030</v>
      </c>
      <c r="J19" s="794">
        <f>IF(ISNUMBER(I19/B19),I19/B19," - ")</f>
        <v>2515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GAucRJn2tu6EKTyMJ7yX08kGkvLE6Z/KSUWhHgJLT4y3fSQ5ghVMC1fRHyJeguuc/JDeH1FuGeBE7YP1YITPw==" saltValue="SNq0vHAKi+o8RKlKRP9w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ORGAZ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44</v>
      </c>
      <c r="AM12" s="689">
        <f>IF(ISNUMBER(Datos!N12+DatosP!N16),Datos!N12+DatosP!N16," - ")</f>
        <v>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135.24137931034483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1.5204170286707211E-2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v>
      </c>
      <c r="AE13" s="938">
        <f t="shared" si="1"/>
        <v>0</v>
      </c>
      <c r="AF13" s="938">
        <f t="shared" si="1"/>
        <v>0</v>
      </c>
      <c r="AG13" s="938">
        <f t="shared" si="1"/>
        <v>0</v>
      </c>
      <c r="AH13" s="938">
        <f t="shared" si="1"/>
        <v>2337</v>
      </c>
      <c r="AI13" s="938">
        <f t="shared" si="1"/>
        <v>0</v>
      </c>
      <c r="AJ13" s="938">
        <f t="shared" si="1"/>
        <v>0</v>
      </c>
      <c r="AK13" s="938">
        <f t="shared" si="1"/>
        <v>0</v>
      </c>
      <c r="AL13" s="938">
        <f t="shared" si="1"/>
        <v>44</v>
      </c>
      <c r="AM13" s="938">
        <f t="shared" si="1"/>
        <v>1</v>
      </c>
      <c r="AN13" s="938">
        <f t="shared" si="1"/>
        <v>0</v>
      </c>
      <c r="AO13" s="938">
        <f t="shared" si="1"/>
        <v>0</v>
      </c>
      <c r="AP13" s="943">
        <f>IF(ISNUMBER(((Datos!L13/Datos!K13)*11)/factor_trimestre),((Datos!L13/Datos!K13)*11)/factor_trimestre," - ")</f>
        <v>133.57894736842104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1.5204170286707211E-2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11.978378378378379</v>
      </c>
      <c r="AQ18" s="943">
        <f>IF(ISNUMBER(((Datos!M18/Datos!L18)*11)/factor_trimestre),((Datos!M18/Datos!L18)*11)/factor_trimestre," - ")</f>
        <v>5.7761732851985562E-2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0.41333333333333333</v>
      </c>
      <c r="AW18" s="945">
        <f>IF(ISNUMBER((Datos!Q18-Datos!R18)/(Datos!S18-Datos!Q18+Datos!R18)),(Datos!Q18-Datos!R18)/(Datos!S18-Datos!Q18+Datos!R18)," - ")</f>
        <v>-8.6069210292812781E-2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v>
      </c>
      <c r="AE19" s="956">
        <f t="shared" si="5"/>
        <v>0</v>
      </c>
      <c r="AF19" s="957">
        <f t="shared" si="5"/>
        <v>0</v>
      </c>
      <c r="AG19" s="957">
        <f t="shared" si="5"/>
        <v>0</v>
      </c>
      <c r="AH19" s="957">
        <f t="shared" si="5"/>
        <v>2337</v>
      </c>
      <c r="AI19" s="957">
        <f t="shared" si="5"/>
        <v>0</v>
      </c>
      <c r="AJ19" s="958">
        <f t="shared" si="5"/>
        <v>0</v>
      </c>
      <c r="AK19" s="958">
        <f t="shared" si="5"/>
        <v>0</v>
      </c>
      <c r="AL19" s="950">
        <f t="shared" si="5"/>
        <v>44</v>
      </c>
      <c r="AM19" s="950">
        <f t="shared" si="5"/>
        <v>1</v>
      </c>
      <c r="AN19" s="950">
        <f t="shared" si="5"/>
        <v>0</v>
      </c>
      <c r="AO19" s="950">
        <f t="shared" si="5"/>
        <v>0</v>
      </c>
      <c r="AP19" s="950">
        <f>IF(ISNUMBER(((Datos!L19/Datos!K19)*11)/factor_trimestre),((Datos!L19/Datos!K19)*11)/factor_trimestre," - ")</f>
        <v>40.619834710743802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2.7766091712242324E-2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25.403411844343534</v>
      </c>
      <c r="AM21" s="735"/>
      <c r="AN21" s="735">
        <f>IF(ISNUMBER(STDEV(AN8:AN18)),STDEV(AN8:AN18),"-")</f>
        <v>0</v>
      </c>
      <c r="AO21" s="741">
        <f>IF(ISNUMBER(STDEV(AO8:AO18)),STDEV(AO8:AO18),"-")</f>
        <v>0</v>
      </c>
      <c r="AP21" s="778">
        <f>IF(ISNUMBER(STDEV(AP8:AP18)),STDEV(AP8:AP18),"-")</f>
        <v>70.690911081762181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7qk8vAkTOTDCnfOG64gDopx76GGTGLp19FDp1ucpvNngVY550m2a6P1vtJCZOt87sFMTiGcDU068wLULJdVdw==" saltValue="7qusOws8apkXznvr9/DK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ORGAZ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j88PWpEXtgwVU27AswgWR03ABkdgFy838DIG83fKKDqAz9cJL6Z7/QIBc+WEz8RDwk4i0Sk1i+hqybUQi4/QQ==" saltValue="ViSD7jSyqYqS/mt8iuCg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ORGAZ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44</v>
      </c>
      <c r="E12" s="403">
        <f t="shared" si="0"/>
        <v>22</v>
      </c>
      <c r="F12" s="402">
        <f>IF(ISNUMBER(Datos!N12),Datos!N12," - ")</f>
        <v>1</v>
      </c>
      <c r="G12" s="403">
        <f t="shared" si="1"/>
        <v>0.5</v>
      </c>
      <c r="H12" s="402">
        <f>IF(ISNUMBER(Datos!O12),Datos!O12," - ")</f>
        <v>0</v>
      </c>
      <c r="I12" s="403">
        <f t="shared" si="2"/>
        <v>0</v>
      </c>
      <c r="BZ12" s="1185">
        <f>Datos!EZ12</f>
        <v>0</v>
      </c>
    </row>
    <row r="13" spans="1:78" ht="14.25" thickTop="1" thickBot="1">
      <c r="A13" s="847" t="str">
        <f>Datos!A13</f>
        <v>TOTAL</v>
      </c>
      <c r="B13" s="848">
        <f>Datos!AP13</f>
        <v>2</v>
      </c>
      <c r="C13" s="850">
        <f>Datos!AR13</f>
        <v>2</v>
      </c>
      <c r="D13" s="848">
        <f>SUBTOTAL(9,D9:D12)</f>
        <v>44</v>
      </c>
      <c r="E13" s="849">
        <f t="shared" si="0"/>
        <v>22</v>
      </c>
      <c r="F13" s="848">
        <f>SUBTOTAL(9,F9:F12)</f>
        <v>1</v>
      </c>
      <c r="G13" s="849">
        <f t="shared" si="1"/>
        <v>0.5</v>
      </c>
      <c r="H13" s="848">
        <f>SUBTOTAL(9,H9:H12)</f>
        <v>0</v>
      </c>
      <c r="I13" s="849">
        <f>IF(ISNUMBER(H13/B13),H13/B13," - ")</f>
        <v>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v>
      </c>
      <c r="E16" s="403">
        <f t="shared" si="3"/>
        <v>16</v>
      </c>
      <c r="F16" s="402">
        <f>IF(ISNUMBER(Datos!N16),Datos!N16," - ")</f>
        <v>140</v>
      </c>
      <c r="G16" s="403">
        <f t="shared" si="4"/>
        <v>70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32</v>
      </c>
      <c r="E18" s="849">
        <f t="shared" si="3"/>
        <v>16</v>
      </c>
      <c r="F18" s="848">
        <f>SUBTOTAL(9,F15:F17)</f>
        <v>140</v>
      </c>
      <c r="G18" s="849">
        <f t="shared" si="4"/>
        <v>70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76</v>
      </c>
      <c r="E19" s="794">
        <f>IF(ISNUMBER(D19/B19),D19/B19," - ")</f>
        <v>38</v>
      </c>
      <c r="F19" s="793">
        <f>SUBTOTAL(9,F8:F18)</f>
        <v>141</v>
      </c>
      <c r="G19" s="794">
        <f>IF(ISNUMBER(F19/B19),F19/B19," - ")</f>
        <v>70.5</v>
      </c>
      <c r="H19" s="793">
        <f>SUBTOTAL(9,H8:H18)</f>
        <v>0</v>
      </c>
      <c r="I19" s="794">
        <f>IF(ISNUMBER(H19/B19),H19/B19," - ")</f>
        <v>0</v>
      </c>
    </row>
    <row r="22" spans="1:78">
      <c r="A22" s="390" t="str">
        <f>Criterios!A4</f>
        <v>Fecha Informe: 09 dic. 2025</v>
      </c>
    </row>
    <row r="27" spans="1:78">
      <c r="A27" s="413"/>
    </row>
  </sheetData>
  <sheetProtection algorithmName="SHA-512" hashValue="umny+xSNa5IiHU1ow+Lc4/2OrT1qGoSdbnZXipycmU+7Dd7EXGsc8/UHXl+rum6OE34ljJMe3wem9E3QUV2XXg==" saltValue="ySC2Y3TJHjxyqTaducCA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ORGAZ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v>
      </c>
      <c r="C12" s="433">
        <f>IF(ISNUMBER(Datos!Q12),Datos!Q12," - ")</f>
        <v>13</v>
      </c>
      <c r="D12" s="407">
        <f>IF(ISNUMBER(Datos!R12),Datos!R12," - ")</f>
        <v>2337</v>
      </c>
    </row>
    <row r="13" spans="1:4" ht="14.25" thickTop="1" thickBot="1">
      <c r="A13" s="847" t="str">
        <f>Datos!A13</f>
        <v>TOTAL</v>
      </c>
      <c r="B13" s="848">
        <f>SUBTOTAL(9,B9:B12)</f>
        <v>48</v>
      </c>
      <c r="C13" s="852">
        <f>SUBTOTAL(9,C9:C12)</f>
        <v>13</v>
      </c>
      <c r="D13" s="850">
        <f>SUBTOTAL(9,D9:D12)</f>
        <v>2337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9</v>
      </c>
      <c r="D16" s="407">
        <f>IF(ISNUMBER(Datos!R16),Datos!R16," - ")</f>
        <v>106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40</v>
      </c>
      <c r="C18" s="852">
        <f>SUBTOTAL(9,C15:C17)</f>
        <v>9</v>
      </c>
      <c r="D18" s="850">
        <f>SUBTOTAL(9,D15:D17)</f>
        <v>106</v>
      </c>
    </row>
    <row r="19" spans="1:4" ht="16.5" customHeight="1" thickTop="1" thickBot="1">
      <c r="A19" s="792" t="str">
        <f>Datos!A19</f>
        <v>TOTAL JURISDICCIONES</v>
      </c>
      <c r="B19" s="797">
        <f>SUBTOTAL(9,B8:B18)</f>
        <v>88</v>
      </c>
      <c r="C19" s="798">
        <f>SUBTOTAL(9,C8:C18)</f>
        <v>22</v>
      </c>
      <c r="D19" s="799">
        <f>SUBTOTAL(9,D8:D18)</f>
        <v>2443</v>
      </c>
    </row>
    <row r="20" spans="1:4" ht="7.5" customHeight="1"/>
    <row r="21" spans="1:4" ht="6" customHeight="1"/>
    <row r="22" spans="1:4">
      <c r="A22" s="390" t="str">
        <f>Criterios!A4</f>
        <v>Fecha Informe: 09 dic. 2025</v>
      </c>
    </row>
    <row r="27" spans="1:4">
      <c r="A27" s="413"/>
    </row>
  </sheetData>
  <sheetProtection algorithmName="SHA-512" hashValue="3RO1s+8grdpXvucLzCFvajnUlWoyQVmQSoygZ76GVx/pMSuEpDVaIgX0Wt6nocsXDp2AQ3w5VIZLXrN73Oj9AQ==" saltValue="VLLEX7ozpHkcccJGsOsi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ORGAZ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0.40279878971255673</v>
      </c>
      <c r="C12" s="455">
        <f>IF(ISNUMBER(
   IF(J_V="SI",(Datos!J12-Datos!T12)/Datos!T12,(Datos!J12+Datos!Z12-(Datos!T12+Datos!AH12))/(Datos!T12+Datos!AH12))
     ),IF(J_V="SI",(Datos!J12-Datos!T12)/Datos!T12,(Datos!J12+Datos!Z12-(Datos!T12+Datos!AH12))/(Datos!T12+Datos!AH12))," - ")</f>
        <v>-0.68004722550177099</v>
      </c>
      <c r="D12" s="455">
        <f>IF(ISNUMBER(
   IF(J_V="SI",(Datos!K12-Datos!U12)/Datos!U12,(Datos!K12+Datos!AA12-(Datos!U12+Datos!AI12))/(Datos!U12+Datos!AI12))
     ),IF(J_V="SI",(Datos!K12-Datos!U12)/Datos!U12,(Datos!K12+Datos!AA12-(Datos!U12+Datos!AI12))/(Datos!U12+Datos!AI12))," - ")</f>
        <v>-0.75527426160337552</v>
      </c>
      <c r="E12" s="455">
        <f>IF(ISNUMBER(
   IF(J_V="SI",(Datos!L12-Datos!V12)/Datos!V12,(Datos!L12+Datos!AB12-(Datos!V12+Datos!AJ12))/(Datos!V12+Datos!AJ12))
     ),IF(J_V="SI",(Datos!L12-Datos!V12)/Datos!V12,(Datos!L12+Datos!AB12-(Datos!V12+Datos!AJ12))/(Datos!V12+Datos!AJ12))," - ")</f>
        <v>0.20528580208973571</v>
      </c>
      <c r="F12" s="455">
        <f>IF(ISNUMBER((Datos!M12-Datos!W12)/Datos!W12),(Datos!M12-Datos!W12)/Datos!W12," - ")</f>
        <v>-0.39726027397260272</v>
      </c>
      <c r="G12" s="456">
        <f>IF(ISNUMBER((Datos!N12-Datos!X12)/Datos!X12),(Datos!N12-Datos!X12)/Datos!X12," - ")</f>
        <v>-0.97959183673469385</v>
      </c>
      <c r="H12" s="454">
        <f>IF(ISNUMBER(((NºAsuntos!G12/NºAsuntos!E12)-Datos!BD12)/Datos!BD12),((NºAsuntos!G12/NºAsuntos!E12)-Datos!BD12)/Datos!BD12," - ")</f>
        <v>-0.23511918663490444</v>
      </c>
      <c r="I12" s="455">
        <f>IF(ISNUMBER(((NºAsuntos!I12/NºAsuntos!G12)-Datos!BE12)/Datos!BE12),((NºAsuntos!I12/NºAsuntos!G12)-Datos!BE12)/Datos!BE12," - ")</f>
        <v>3.9250471568149541</v>
      </c>
      <c r="J12" s="460">
        <f>IF(ISNUMBER((('Resol  Asuntos'!D12/NºAsuntos!G12)-Datos!BF12)/Datos!BF12),(('Resol  Asuntos'!D12/NºAsuntos!G12)-Datos!BF12)/Datos!BF12," - ")</f>
        <v>2.6692470091484868</v>
      </c>
      <c r="K12" s="461">
        <f>IF(ISNUMBER((((NºAsuntos!C12+NºAsuntos!E12)/NºAsuntos!G12)-Datos!BG12)/Datos!BG12),(((NºAsuntos!C12+NºAsuntos!E12)/NºAsuntos!G12)-Datos!BG12)/Datos!BG12," - ")</f>
        <v>3.6585801914282041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0.39174484052532832</v>
      </c>
      <c r="C13" s="854">
        <f>IF(ISNUMBER(
   IF(J_V="SI",(Datos!J13-Datos!T13)/Datos!T13,(Datos!J13+Datos!Z13-(Datos!T13+Datos!AH13))/(Datos!T13+Datos!AH13))
     ),IF(J_V="SI",(Datos!J13-Datos!T13)/Datos!T13,(Datos!J13+Datos!Z13-(Datos!T13+Datos!AH13))/(Datos!T13+Datos!AH13))," - ")</f>
        <v>-0.68004722550177099</v>
      </c>
      <c r="D13" s="854">
        <f>IF(ISNUMBER(
   IF(J_V="SI",(Datos!K13-Datos!U13)/Datos!U13,(Datos!K13+Datos!AA13-(Datos!U13+Datos!AI13))/(Datos!U13+Datos!AI13))
     ),IF(J_V="SI",(Datos!K13-Datos!U13)/Datos!U13,(Datos!K13+Datos!AA13-(Datos!U13+Datos!AI13))/(Datos!U13+Datos!AI13))," - ")</f>
        <v>-0.75527426160337552</v>
      </c>
      <c r="E13" s="854">
        <f>IF(ISNUMBER(
   IF(J_V="SI",(Datos!L13-Datos!V13)/Datos!V13,(Datos!L13+Datos!AB13-(Datos!V13+Datos!AJ13))/(Datos!V13+Datos!AJ13))
     ),IF(J_V="SI",(Datos!L13-Datos!V13)/Datos!V13,(Datos!L13+Datos!AB13-(Datos!V13+Datos!AJ13))/(Datos!V13+Datos!AJ13))," - ")</f>
        <v>0.19755725190839696</v>
      </c>
      <c r="F13" s="855">
        <f>IF(ISNUMBER((Datos!M13-Datos!W13)/Datos!W13),(Datos!M13-Datos!W13)/Datos!W13," - ")</f>
        <v>-0.39726027397260272</v>
      </c>
      <c r="G13" s="856">
        <f>IF(ISNUMBER((Datos!N13-Datos!X13)/Datos!X13),(Datos!N13-Datos!X13)/Datos!X13," - ")</f>
        <v>-0.97959183673469385</v>
      </c>
      <c r="H13" s="856">
        <f>IF(ISNUMBER(((NºAsuntos!G13/NºAsuntos!E13)-Datos!BD13)/Datos!BD13),((NºAsuntos!G13/NºAsuntos!E13)-Datos!BD13)/Datos!BD13," - ")</f>
        <v>-0.23511918663490444</v>
      </c>
      <c r="I13" s="856">
        <f>IF(ISNUMBER(((NºAsuntos!I13/NºAsuntos!G13)-Datos!BE13)/Datos!BE13),((NºAsuntos!I13/NºAsuntos!G13)-Datos!BE13)/Datos!BE13," - ")</f>
        <v>3.893466701763622</v>
      </c>
      <c r="J13" s="856">
        <f>IF(ISNUMBER((('Resol  Asuntos'!D13/NºAsuntos!G13)-Datos!BF13)/Datos!BF13),(('Resol  Asuntos'!D13/NºAsuntos!G13)-Datos!BF13)/Datos!BF13," - ")</f>
        <v>2.6692470091484868</v>
      </c>
      <c r="K13" s="856">
        <f>IF(ISNUMBER((((NºAsuntos!C13+NºAsuntos!E13)/NºAsuntos!G13)-Datos!BG13)/Datos!BG13),(((NºAsuntos!C13+NºAsuntos!E13)/NºAsuntos!G13)-Datos!BG13)/Datos!BG13," - ")</f>
        <v>3.6307242164794595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-0.10235414534288639</v>
      </c>
      <c r="C16" s="455">
        <f>IF(ISNUMBER(
   IF(D_I="SI",(Datos!J16-Datos!T16)/Datos!T16,(Datos!J16+Datos!AD16-(Datos!T16+Datos!AL16))/(Datos!T16+Datos!AL16))
     ),IF(D_I="SI",(Datos!J16-Datos!T16)/Datos!T16,(Datos!J16+Datos!AD16-(Datos!T16+Datos!AL16))/(Datos!T16+Datos!AL16))," - ")</f>
        <v>0.30819672131147541</v>
      </c>
      <c r="D16" s="455">
        <f>IF(ISNUMBER(
   IF(D_I="SI",(Datos!K16-Datos!U16)/Datos!U16,(Datos!K16+Datos!AE16-(Datos!U16+Datos!AM16))/(Datos!U16+Datos!AM16))
     ),IF(D_I="SI",(Datos!K16-Datos!U16)/Datos!U16,(Datos!K16+Datos!AE16-(Datos!U16+Datos!AM16))/(Datos!U16+Datos!AM16))," - ")</f>
        <v>-0.31734317343173429</v>
      </c>
      <c r="E16" s="455">
        <f>IF(ISNUMBER(
   IF(D_I="SI",(Datos!L16-Datos!V16)/Datos!V16,(Datos!L16+Datos!AF16-(Datos!V16+Datos!AN16))/(Datos!V16+Datos!AN16))
     ),IF(D_I="SI",(Datos!L16-Datos!V16)/Datos!V16,(Datos!L16+Datos!AF16-(Datos!V16+Datos!AN16))/(Datos!V16+Datos!AN16))," - ")</f>
        <v>7.9129574678536096E-2</v>
      </c>
      <c r="F16" s="455">
        <f>IF(ISNUMBER((Datos!M16-Datos!W16)/Datos!W16),(Datos!M16-Datos!W16)/Datos!W16," - ")</f>
        <v>0.45454545454545453</v>
      </c>
      <c r="G16" s="456">
        <f>IF(ISNUMBER((Datos!N16-Datos!X16)/Datos!X16),(Datos!N16-Datos!X16)/Datos!X16," - ")</f>
        <v>-0.23497267759562843</v>
      </c>
      <c r="H16" s="454">
        <f>IF(ISNUMBER(((NºAsuntos!G16/NºAsuntos!E16)-Datos!BD16)/Datos!BD16),((NºAsuntos!G16/NºAsuntos!E16)-Datos!BD16)/Datos!BD16," - ")</f>
        <v>-0.47816959372601253</v>
      </c>
      <c r="I16" s="455">
        <f>IF(ISNUMBER(((NºAsuntos!I16/NºAsuntos!G16)-Datos!BE16)/Datos!BE16),((NºAsuntos!I16/NºAsuntos!G16)-Datos!BE16)/Datos!BE16," - ")</f>
        <v>0.58077899858315285</v>
      </c>
      <c r="J16" s="460">
        <f>IF(ISNUMBER((('Resol  Asuntos'!D16/NºAsuntos!G16)-Datos!BF16)/Datos!BF16),(('Resol  Asuntos'!D16/NºAsuntos!G16)-Datos!BF16)/Datos!BF16," - ")</f>
        <v>1.130712530712531</v>
      </c>
      <c r="K16" s="461">
        <f>IF(ISNUMBER((((NºAsuntos!C16+NºAsuntos!E16)/NºAsuntos!G16)-Datos!BG16)/Datos!BG16),(((NºAsuntos!C16+NºAsuntos!E16)/NºAsuntos!G16)-Datos!BG16)/Datos!BG16," - ")</f>
        <v>0.45800902306362506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-0.67924528301886788</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-0.65306122448979587</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-0.13203883495145632</v>
      </c>
      <c r="C18" s="854">
        <f>IF(ISNUMBER(
   IF(Criterios!B14="SI",(Datos!J18-Datos!T18)/Datos!T18,(Datos!J18+Datos!AD18-(Datos!T18+Datos!AL18))/(Datos!T18+Datos!AL18))
     ),IF(Criterios!B14="SI",(Datos!J18-Datos!T18)/Datos!T18,(Datos!J18+Datos!AD18-(Datos!T18+Datos!AL18))/(Datos!T18+Datos!AL18))," - ")</f>
        <v>0.30819672131147541</v>
      </c>
      <c r="D18" s="854">
        <f>IF(ISNUMBER(
   IF(Criterios!B14="SI",(Datos!K18-Datos!U18)/Datos!U18,(Datos!K18+Datos!AE18-(Datos!U18+Datos!AM18))/(Datos!U18+Datos!AM18))
     ),IF(Criterios!B14="SI",(Datos!K18-Datos!U18)/Datos!U18,(Datos!K18+Datos!AE18-(Datos!U18+Datos!AM18))/(Datos!U18+Datos!AM18))," - ")</f>
        <v>-0.32727272727272727</v>
      </c>
      <c r="E18" s="854">
        <f>IF(ISNUMBER(
   IF(Criterios!B14="SI",(Datos!L18-Datos!V18)/Datos!V18,(Datos!L18+Datos!AF18-(Datos!V18+Datos!AN18))/(Datos!V18+Datos!AN18))
     ),IF(Criterios!B14="SI",(Datos!L18-Datos!V18)/Datos!V18,(Datos!L18+Datos!AF18-(Datos!V18+Datos!AN18))/(Datos!V18+Datos!AN18))," - ")</f>
        <v>4.5283018867924525E-2</v>
      </c>
      <c r="F18" s="855">
        <f>IF(ISNUMBER((Datos!M18-Datos!W18)/Datos!W18),(Datos!M18-Datos!W18)/Datos!W18," - ")</f>
        <v>0.45454545454545453</v>
      </c>
      <c r="G18" s="856">
        <f>IF(ISNUMBER((Datos!N18-Datos!X18)/Datos!X18),(Datos!N18-Datos!X18)/Datos!X18," - ")</f>
        <v>-0.25133689839572193</v>
      </c>
      <c r="H18" s="856">
        <f>IF(ISNUMBER(((NºAsuntos!G18/NºAsuntos!E18)-Datos!BD18)/Datos!BD18),((NºAsuntos!G18/NºAsuntos!E18)-Datos!BD18)/Datos!BD18," - ")</f>
        <v>-0.48575985418090684</v>
      </c>
      <c r="I18" s="856">
        <f>IF(ISNUMBER(((NºAsuntos!I18/NºAsuntos!G18)-Datos!BE18)/Datos!BE18),((NºAsuntos!I18/NºAsuntos!G18)-Datos!BE18)/Datos!BE18," - ")</f>
        <v>0.55379908210096895</v>
      </c>
      <c r="J18" s="856">
        <f>IF(ISNUMBER((('Resol  Asuntos'!D18/NºAsuntos!G18)-Datos!BF18)/Datos!BF18),(('Resol  Asuntos'!D18/NºAsuntos!G18)-Datos!BF18)/Datos!BF18," - ")</f>
        <v>1.1621621621621623</v>
      </c>
      <c r="K18" s="856">
        <f>IF(ISNUMBER((((NºAsuntos!C18+NºAsuntos!E18)/NºAsuntos!G18)-Datos!BG18)/Datos!BG18),(((NºAsuntos!C18+NºAsuntos!E18)/NºAsuntos!G18)-Datos!BG18)/Datos!BG18," - ")</f>
        <v>0.43972061949590041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0.24573748308525034</v>
      </c>
      <c r="C19" s="801">
        <f>IF(ISNUMBER(
   IF(J_V="SI",(Datos!J19-Datos!T19)/Datos!T19,(Datos!J19+Datos!Z19-(Datos!T19+Datos!AH19))/(Datos!T19+Datos!AH19))
     ),IF(J_V="SI",(Datos!J19-Datos!T19)/Datos!T19,(Datos!J19+Datos!Z19-(Datos!T19+Datos!AH19))/(Datos!T19+Datos!AH19))," - ")</f>
        <v>-0.41840277777777779</v>
      </c>
      <c r="D19" s="801">
        <f>IF(ISNUMBER(
   IF(J_V="SI",(Datos!K19-Datos!U19)/Datos!U19,(Datos!K19+Datos!AA19-(Datos!U19+Datos!AI19))/(Datos!U19+Datos!AI19))
     ),IF(J_V="SI",(Datos!K19-Datos!U19)/Datos!U19,(Datos!K19+Datos!AA19-(Datos!U19+Datos!AI19))/(Datos!U19+Datos!AI19))," - ")</f>
        <v>-0.525390625</v>
      </c>
      <c r="E19" s="801">
        <f>IF(ISNUMBER(
   IF(J_V="SI",(Datos!L19-Datos!V19)/Datos!V19,(Datos!L19+Datos!AB19-(Datos!V19+Datos!AJ19))/(Datos!V19+Datos!AJ19))
     ),IF(J_V="SI",(Datos!L19-Datos!V19)/Datos!V19,(Datos!L19+Datos!AB19-(Datos!V19+Datos!AJ19))/(Datos!V19+Datos!AJ19))," - ")</f>
        <v>0.16032295271049596</v>
      </c>
      <c r="F19" s="802">
        <f>IF(ISNUMBER((Datos!M19-Datos!W19)/Datos!W19),(Datos!M19-Datos!W19)/Datos!W19," - ")</f>
        <v>-0.2</v>
      </c>
      <c r="G19" s="803">
        <f>IF(ISNUMBER((Datos!N19-Datos!X19)/Datos!X19),(Datos!N19-Datos!X19)/Datos!X19," - ")</f>
        <v>-0.40254237288135591</v>
      </c>
      <c r="H19" s="804">
        <f>IF(ISNUMBER((Tasas!B19-Datos!BD19)/Datos!BD19),(Tasas!B19-Datos!BD19)/Datos!BD19," - ")</f>
        <v>-0.1839552238805969</v>
      </c>
      <c r="I19" s="805">
        <f>IF(ISNUMBER((Tasas!C19-Datos!BE19)/Datos!BE19),(Tasas!C19-Datos!BE19)/Datos!BE19," - ")</f>
        <v>1.44479568636944</v>
      </c>
      <c r="J19" s="806">
        <f>IF(ISNUMBER((Tasas!D19-Datos!BF19)/Datos!BF19),(Tasas!D19-Datos!BF19)/Datos!BF19," - ")</f>
        <v>1.2553758766591319</v>
      </c>
      <c r="K19" s="806">
        <f>IF(ISNUMBER((Tasas!E19-Datos!BG19)/Datos!BG19),(Tasas!E19-Datos!BG19)/Datos!BG19," - ")</f>
        <v>1.2921785228825093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lcKgIkosBeHgj50If+PKUlqHMejRpYKiRj/X23D4qM06zJm7BYpqm7FNZXqJxbOIlvBOjCGnY0qypCdFx78g==" saltValue="usmHFjr9nMarmP4yt/bY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ORGAZ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0.2140221402214022</v>
      </c>
      <c r="C12" s="442">
        <f>IF(ISNUMBER(NºAsuntos!I12/NºAsuntos!G12),NºAsuntos!I12/NºAsuntos!G12," - ")</f>
        <v>67.620689655172413</v>
      </c>
      <c r="D12" s="443">
        <f>IF(ISNUMBER('Resol  Asuntos'!D12/NºAsuntos!G12),'Resol  Asuntos'!D12/NºAsuntos!G12," - ")</f>
        <v>0.75862068965517238</v>
      </c>
      <c r="E12" s="444">
        <f>IF(ISNUMBER((NºAsuntos!C12+NºAsuntos!E12)/NºAsuntos!G12),(NºAsuntos!C12+NºAsuntos!E12)/NºAsuntos!G12," - ")</f>
        <v>68.620689655172413</v>
      </c>
      <c r="G12" s="462"/>
    </row>
    <row r="13" spans="1:7" ht="14.25" thickTop="1" thickBot="1">
      <c r="A13" s="847" t="str">
        <f>Datos!A13</f>
        <v>TOTAL</v>
      </c>
      <c r="B13" s="857">
        <f>IF(ISNUMBER(NºAsuntos!G13/NºAsuntos!E13),NºAsuntos!G13/NºAsuntos!E13," - ")</f>
        <v>0.2140221402214022</v>
      </c>
      <c r="C13" s="858">
        <f>IF(ISNUMBER(NºAsuntos!I13/NºAsuntos!G13),NºAsuntos!I13/NºAsuntos!G13," - ")</f>
        <v>67.620689655172413</v>
      </c>
      <c r="D13" s="859">
        <f>IF(ISNUMBER('Resol  Asuntos'!D13/NºAsuntos!G13),'Resol  Asuntos'!D13/NºAsuntos!G13," - ")</f>
        <v>0.75862068965517238</v>
      </c>
      <c r="E13" s="860">
        <f>IF(ISNUMBER((NºAsuntos!C13+NºAsuntos!E13)/NºAsuntos!G13),(NºAsuntos!C13+NºAsuntos!E13)/NºAsuntos!G13," - ")</f>
        <v>68.620689655172413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0.46365914786967416</v>
      </c>
      <c r="C16" s="442">
        <f>IF(ISNUMBER(NºAsuntos!I16/NºAsuntos!G16),NºAsuntos!I16/NºAsuntos!G16," - ")</f>
        <v>5.897297297297297</v>
      </c>
      <c r="D16" s="443">
        <f>IF(ISNUMBER('Resol  Asuntos'!D16/NºAsuntos!G16),'Resol  Asuntos'!D16/NºAsuntos!G16," - ")</f>
        <v>0.17297297297297298</v>
      </c>
      <c r="E16" s="444">
        <f>IF(ISNUMBER((NºAsuntos!C16+NºAsuntos!E16)/NºAsuntos!G16),(NºAsuntos!C16+NºAsuntos!E16)/NºAsuntos!G16," - ")</f>
        <v>6.897297297297297</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0.46365914786967416</v>
      </c>
      <c r="C18" s="858">
        <f>IF(ISNUMBER(NºAsuntos!I18/NºAsuntos!G18),NºAsuntos!I18/NºAsuntos!G18," - ")</f>
        <v>5.9891891891891893</v>
      </c>
      <c r="D18" s="861">
        <f>IF(ISNUMBER('Resol  Asuntos'!D18/NºAsuntos!G18),'Resol  Asuntos'!D18/NºAsuntos!G18," - ")</f>
        <v>0.17297297297297298</v>
      </c>
      <c r="E18" s="860">
        <f>IF(ISNUMBER((NºAsuntos!C18+NºAsuntos!E18)/NºAsuntos!G18),(NºAsuntos!C18+NºAsuntos!E18)/NºAsuntos!G18," - ")</f>
        <v>6.9891891891891893</v>
      </c>
      <c r="G18" s="462"/>
    </row>
    <row r="19" spans="1:7" ht="15.75" customHeight="1" thickTop="1" thickBot="1">
      <c r="A19" s="792" t="str">
        <f>Datos!A19</f>
        <v>TOTAL JURISDICCIONES</v>
      </c>
      <c r="B19" s="807">
        <f>IF(ISNUMBER(NºAsuntos!G19/NºAsuntos!E19),NºAsuntos!G19/NºAsuntos!E19," - ")</f>
        <v>0.36268656716417913</v>
      </c>
      <c r="C19" s="808">
        <f>IF(ISNUMBER(NºAsuntos!I19/NºAsuntos!G19),NºAsuntos!I19/NºAsuntos!G19," - ")</f>
        <v>20.699588477366255</v>
      </c>
      <c r="D19" s="809">
        <f>IF(ISNUMBER('Resol  Asuntos'!D19/NºAsuntos!G19),'Resol  Asuntos'!D19/NºAsuntos!G19," - ")</f>
        <v>0.31275720164609055</v>
      </c>
      <c r="E19" s="810">
        <f>IF(ISNUMBER((NºAsuntos!C19+NºAsuntos!E19)/NºAsuntos!G19),(NºAsuntos!C19+NºAsuntos!E19)/NºAsuntos!G19," - ")</f>
        <v>21.699588477366255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K57PqVr+4lwp5UmE3qTA/Y30hxvTCzG6uPCzwKWJISZuYl+tUgjUsJZDV4fjZ8OOZssQJ/fGHmD2obcm+zlFw==" saltValue="RVQ/mO6eUy/zrdqcsGT4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ORGAZ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v>
      </c>
      <c r="Y12" s="333">
        <f t="shared" si="0"/>
        <v>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44</v>
      </c>
      <c r="AJ12" s="228" t="str">
        <f>IF(ISNUMBER(Datos!BW12),Datos!BW12," - ")</f>
        <v xml:space="preserve"> - </v>
      </c>
      <c r="AK12" s="227" t="str">
        <f>IF(ISNUMBER(Datos!BX12),Datos!BX12," - ")</f>
        <v xml:space="preserve"> - </v>
      </c>
      <c r="AL12" s="242">
        <f>IF(ISNUMBER(NºAsuntos!G12/NºAsuntos!E12),NºAsuntos!G12/NºAsuntos!E12," - ")</f>
        <v>0.2140221402214022</v>
      </c>
      <c r="AM12" s="259">
        <f>IF(ISNUMBER(((NºAsuntos!I12/NºAsuntos!G12)*11)/factor_trimestre),((NºAsuntos!I12/NºAsuntos!G12)*11)/factor_trimestre," - ")</f>
        <v>135.24137931034483</v>
      </c>
      <c r="AN12" s="243">
        <f>IF(ISNUMBER('Resol  Asuntos'!D12/NºAsuntos!G12),'Resol  Asuntos'!D12/NºAsuntos!G12," - ")</f>
        <v>0.75862068965517238</v>
      </c>
      <c r="AO12" s="244">
        <f>IF(ISNUMBER((NºAsuntos!C12+NºAsuntos!E12)/NºAsuntos!G12),(NºAsuntos!C12+NºAsuntos!E12)/NºAsuntos!G12," - ")</f>
        <v>68.620689655172413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v>
      </c>
      <c r="Y13" s="867">
        <f t="shared" si="4"/>
        <v>13</v>
      </c>
      <c r="Z13" s="867">
        <f t="shared" si="4"/>
        <v>0</v>
      </c>
      <c r="AA13" s="867">
        <f t="shared" si="4"/>
        <v>0</v>
      </c>
      <c r="AB13" s="867">
        <f t="shared" si="4"/>
        <v>2337</v>
      </c>
      <c r="AC13" s="867">
        <f t="shared" si="4"/>
        <v>0</v>
      </c>
      <c r="AD13" s="867">
        <f t="shared" si="4"/>
        <v>0</v>
      </c>
      <c r="AE13" s="871">
        <f t="shared" si="4"/>
        <v>0</v>
      </c>
      <c r="AF13" s="864">
        <f t="shared" si="4"/>
        <v>0</v>
      </c>
      <c r="AG13" s="872">
        <f t="shared" si="4"/>
        <v>0</v>
      </c>
      <c r="AH13" s="869">
        <f t="shared" si="4"/>
        <v>0</v>
      </c>
      <c r="AI13" s="864">
        <f t="shared" si="4"/>
        <v>44</v>
      </c>
      <c r="AJ13" s="866">
        <f t="shared" si="4"/>
        <v>0</v>
      </c>
      <c r="AK13" s="869">
        <f>SUBTOTAL(9,AK9:AK12)</f>
        <v>0</v>
      </c>
      <c r="AL13" s="873">
        <f>IF(ISNUMBER(NºAsuntos!G13/NºAsuntos!E13),NºAsuntos!G13/NºAsuntos!E13," - ")</f>
        <v>0.2140221402214022</v>
      </c>
      <c r="AM13" s="873">
        <f>IF(ISNUMBER(((NºAsuntos!I13/NºAsuntos!G13)*11)/factor_trimestre),((NºAsuntos!I13/NºAsuntos!G13)*11)/factor_trimestre," - ")</f>
        <v>135.24137931034483</v>
      </c>
      <c r="AN13" s="874">
        <f>IF(ISNUMBER('Resol  Asuntos'!D13/NºAsuntos!G13),'Resol  Asuntos'!D13/NºAsuntos!G13," - ")</f>
        <v>0.75862068965517238</v>
      </c>
      <c r="AO13" s="875">
        <f>IF(ISNUMBER((NºAsuntos!C13+NºAsuntos!E13)/NºAsuntos!G13),(NºAsuntos!C13+NºAsuntos!E13)/NºAsuntos!G13," - ")</f>
        <v>68.620689655172413</v>
      </c>
      <c r="AP13" s="876" t="str">
        <f t="shared" si="2"/>
        <v xml:space="preserve"> - </v>
      </c>
      <c r="AQ13" s="876" t="str">
        <f>IF(ISNUMBER((H13-W13+K13)/(F13)),(H13-W13+K13)/(F13)," - ")</f>
        <v xml:space="preserve"> - </v>
      </c>
      <c r="AR13" s="877">
        <f>IF(ISNUMBER((Datos!P13-Datos!Q13)/(Datos!R13-Datos!P13+Datos!Q13)),(Datos!P13-Datos!Q13)/(Datos!R13-Datos!P13+Datos!Q13)," - ")</f>
        <v>1.5204170286707211E-2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877</v>
      </c>
      <c r="G16" s="332">
        <f>IF(ISNUMBER(IF(D_I="SI",Datos!I16,Datos!I16+Datos!AC16)),IF(D_I="SI",Datos!I16,Datos!I16+Datos!AC16)," - ")</f>
        <v>877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185</v>
      </c>
      <c r="X16" s="225">
        <f>IF(ISNUMBER(Datos!Q16),Datos!Q16," - ")</f>
        <v>9</v>
      </c>
      <c r="Y16" s="333">
        <f t="shared" ref="Y16:Y17" si="7">SUM(W16:X16)</f>
        <v>194</v>
      </c>
      <c r="Z16" s="334" t="str">
        <f>IF(ISNUMBER(Datos!CC16),Datos!CC16," - ")</f>
        <v xml:space="preserve"> - </v>
      </c>
      <c r="AA16" s="331">
        <f>IF(ISNUMBER(IF(D_I="SI",Datos!L16,Datos!L16+Datos!AF16)),IF(D_I="SI",Datos!L16,Datos!L16+Datos!AF16)," - ")</f>
        <v>1091</v>
      </c>
      <c r="AB16" s="333">
        <f>IF(ISNUMBER(Datos!R16),Datos!R16," - ")</f>
        <v>106</v>
      </c>
      <c r="AC16" s="333">
        <f t="shared" si="6"/>
        <v>1197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0.46365914786967416</v>
      </c>
      <c r="AM16" s="259">
        <f>IF(ISNUMBER(((NºAsuntos!I16/NºAsuntos!G16)*11)/factor_trimestre),((NºAsuntos!I16/NºAsuntos!G16)*11)/factor_trimestre," - ")</f>
        <v>11.794594594594594</v>
      </c>
      <c r="AN16" s="243">
        <f>IF(ISNUMBER('Resol  Asuntos'!D16/NºAsuntos!G16),'Resol  Asuntos'!D16/NºAsuntos!G16," - ")</f>
        <v>0.17297297297297298</v>
      </c>
      <c r="AO16" s="244">
        <f>IF(ISNUMBER((NºAsuntos!C16+NºAsuntos!E16)/NºAsuntos!G16),(NºAsuntos!C16+NºAsuntos!E16)/NºAsuntos!G16," - ")</f>
        <v>6.897297297297297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877</v>
      </c>
      <c r="G18" s="865">
        <f>SUBTOTAL(9,G15:G17)</f>
        <v>894</v>
      </c>
      <c r="H18" s="864">
        <f t="shared" ref="H18:O18" si="10">SUBTOTAL(9,H14:H17)</f>
        <v>0</v>
      </c>
      <c r="I18" s="866">
        <f t="shared" si="10"/>
        <v>0</v>
      </c>
      <c r="J18" s="866">
        <f t="shared" si="10"/>
        <v>0</v>
      </c>
      <c r="K18" s="866">
        <f t="shared" si="10"/>
        <v>0</v>
      </c>
      <c r="L18" s="866">
        <f t="shared" si="10"/>
        <v>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185</v>
      </c>
      <c r="X18" s="866">
        <f t="shared" si="11"/>
        <v>9</v>
      </c>
      <c r="Y18" s="867">
        <f t="shared" si="11"/>
        <v>194</v>
      </c>
      <c r="Z18" s="867">
        <f t="shared" si="11"/>
        <v>0</v>
      </c>
      <c r="AA18" s="867">
        <f t="shared" si="11"/>
        <v>1108</v>
      </c>
      <c r="AB18" s="867">
        <f t="shared" si="11"/>
        <v>106</v>
      </c>
      <c r="AC18" s="867">
        <f t="shared" si="11"/>
        <v>1214</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0.46365914786967416</v>
      </c>
      <c r="AM18" s="873">
        <f>IF(ISNUMBER(((NºAsuntos!I18/NºAsuntos!G18)*11)/factor_trimestre),((NºAsuntos!I18/NºAsuntos!G18)*11)/factor_trimestre," - ")</f>
        <v>11.978378378378379</v>
      </c>
      <c r="AN18" s="874">
        <f>IF(ISNUMBER('Resol  Asuntos'!D18/NºAsuntos!G18),'Resol  Asuntos'!D18/NºAsuntos!G18," - ")</f>
        <v>0.17297297297297298</v>
      </c>
      <c r="AO18" s="875">
        <f>IF(ISNUMBER((NºAsuntos!C18+NºAsuntos!E18)/NºAsuntos!G18),(NºAsuntos!C18+NºAsuntos!E18)/NºAsuntos!G18," - ")</f>
        <v>6.9891891891891893</v>
      </c>
      <c r="AP18" s="876" t="str">
        <f t="shared" si="2"/>
        <v xml:space="preserve"> - </v>
      </c>
      <c r="AQ18" s="876">
        <f>IF(ISNUMBER((H18-W18+K18)/(F18)),(H18-W18+K18)/(F18)," - ")</f>
        <v>-0.21094640820980615</v>
      </c>
      <c r="AR18" s="877">
        <f>IF(ISNUMBER((Datos!P18-Datos!Q18)/(Datos!R18-Datos!P18+Datos!Q18)),(Datos!P18-Datos!Q18)/(Datos!R18-Datos!P18+Datos!Q18)," - ")</f>
        <v>0.41333333333333333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877</v>
      </c>
      <c r="G19" s="820">
        <f t="shared" si="13"/>
        <v>894</v>
      </c>
      <c r="H19" s="819">
        <f t="shared" si="13"/>
        <v>0</v>
      </c>
      <c r="I19" s="821">
        <f t="shared" si="13"/>
        <v>0</v>
      </c>
      <c r="J19" s="821">
        <f t="shared" si="13"/>
        <v>0</v>
      </c>
      <c r="K19" s="880">
        <f t="shared" si="13"/>
        <v>0</v>
      </c>
      <c r="L19" s="821">
        <f t="shared" si="13"/>
        <v>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185</v>
      </c>
      <c r="X19" s="820">
        <f t="shared" si="14"/>
        <v>22</v>
      </c>
      <c r="Y19" s="827">
        <f t="shared" si="14"/>
        <v>207</v>
      </c>
      <c r="Z19" s="827">
        <f t="shared" si="14"/>
        <v>0</v>
      </c>
      <c r="AA19" s="827">
        <f t="shared" si="14"/>
        <v>1108</v>
      </c>
      <c r="AB19" s="827">
        <f t="shared" si="14"/>
        <v>2443</v>
      </c>
      <c r="AC19" s="827">
        <f t="shared" si="14"/>
        <v>1214</v>
      </c>
      <c r="AD19" s="827">
        <f t="shared" si="14"/>
        <v>0</v>
      </c>
      <c r="AE19" s="829">
        <f t="shared" si="14"/>
        <v>0</v>
      </c>
      <c r="AF19" s="830">
        <f t="shared" si="14"/>
        <v>0</v>
      </c>
      <c r="AG19" s="831">
        <f t="shared" si="14"/>
        <v>0</v>
      </c>
      <c r="AH19" s="829">
        <f t="shared" si="14"/>
        <v>0</v>
      </c>
      <c r="AI19" s="819">
        <f t="shared" si="14"/>
        <v>76</v>
      </c>
      <c r="AJ19" s="819">
        <f t="shared" si="14"/>
        <v>0</v>
      </c>
      <c r="AK19" s="829">
        <f t="shared" si="14"/>
        <v>0</v>
      </c>
      <c r="AL19" s="883">
        <f>IF(ISNUMBER(NºAsuntos!G19/NºAsuntos!E19),NºAsuntos!G19/NºAsuntos!E19," - ")</f>
        <v>0.36268656716417913</v>
      </c>
      <c r="AM19" s="884">
        <f>IF(ISNUMBER(((NºAsuntos!I19/NºAsuntos!G19)*11)/factor_trimestre),((NºAsuntos!I19/NºAsuntos!G19)*11)/factor_trimestre," - ")</f>
        <v>41.399176954732511</v>
      </c>
      <c r="AN19" s="884">
        <f>IF(ISNUMBER('Resol  Asuntos'!D19/NºAsuntos!G19),'Resol  Asuntos'!D19/NºAsuntos!G19," - ")</f>
        <v>0.31275720164609055</v>
      </c>
      <c r="AO19" s="885">
        <f>IF(ISNUMBER((NºAsuntos!C19+NºAsuntos!E19)/NºAsuntos!G19),(NºAsuntos!C19+NºAsuntos!E19)/NºAsuntos!G19," - ")</f>
        <v>21.699588477366255</v>
      </c>
      <c r="AP19" s="886" t="str">
        <f t="shared" si="2"/>
        <v xml:space="preserve"> - </v>
      </c>
      <c r="AQ19" s="887">
        <f>IF(OR(ISNUMBER(FIND("01",Criterios!A8,1)),ISNUMBER(FIND("02",Criterios!A8,1)),ISNUMBER(FIND("03",Criterios!A8,1)),ISNUMBER(FIND("04",Criterios!A8,1))),(I19-W19+K19)/(F19-K19),(H19-W19+K19)/(F19-K19))</f>
        <v>-0.21094640820980615</v>
      </c>
      <c r="AR19" s="888">
        <f>IF(ISNUMBER((Datos!P19-Datos!Q19)/(Datos!R19-Datos!P19+Datos!Q19)),(Datos!P19-Datos!Q19)/(Datos!R19-Datos!P19+Datos!Q19)," - ")</f>
        <v>2.7766091712242324E-2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506.3361860793018</v>
      </c>
      <c r="G21" s="252">
        <f>IF(ISNUMBER(STDEV(G8:G18)),STDEV(G8:G18),"-")</f>
        <v>481.99201238194809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101.32867313845573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20.343713197611361</v>
      </c>
      <c r="AJ21" s="251">
        <f t="shared" si="18"/>
        <v>0</v>
      </c>
      <c r="AK21" s="253">
        <f t="shared" si="18"/>
        <v>0</v>
      </c>
      <c r="AL21" s="248">
        <f t="shared" si="18"/>
        <v>0.14412799356542252</v>
      </c>
      <c r="AM21" s="249">
        <f t="shared" si="18"/>
        <v>71.219020099561348</v>
      </c>
      <c r="AN21" s="249">
        <f t="shared" si="18"/>
        <v>0.33812386687675738</v>
      </c>
      <c r="AO21" s="250">
        <f t="shared" si="18"/>
        <v>35.609510049780688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DWFOpaUvWA7psBBSvba1PrDLNOpAJQWFXxvHba+BJStChTzjgeTFfQ+7JONq8JlXm+vvUrlJd9YKrJJKpqDGw==" saltValue="3z7dzyv4YpoyXUC2CtUU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ORGAZ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-0.39726027397260272</v>
      </c>
      <c r="I12" s="349">
        <f>IF(ISNUMBER((Tasas!C12-Datos!BE12)/Datos!BE12),(Tasas!C12-Datos!BE12)/Datos!BE12," - ")</f>
        <v>3.9250471568149541</v>
      </c>
      <c r="J12" s="348">
        <f>IF(ISNUMBER((Tasas!D12-Datos!BF12)/Datos!BF12),(Tasas!D12-Datos!BF12)/Datos!BF12," - ")</f>
        <v>2.6692470091484868</v>
      </c>
      <c r="K12" s="350">
        <f>IF(ISNUMBER((Tasas!E12-Datos!BG12)/Datos!BG12),(Tasas!E12-Datos!BG12)/Datos!BG12," - ")</f>
        <v>3.6585801914282041</v>
      </c>
      <c r="M12" t="e">
        <f>IF(Monitorios="SI",Datos!CE12,0)</f>
        <v>#REF!</v>
      </c>
      <c r="N12" t="e">
        <f>IF(Monitorios="SI",Datos!CF12,0)</f>
        <v>#REF!</v>
      </c>
      <c r="O12" t="e">
        <f>IF(Monitorios="SI",Datos!CG12,0)</f>
        <v>#REF!</v>
      </c>
      <c r="P12" t="e">
        <f>IF(Monitorios="SI",Datos!CH12,0)</f>
        <v>#REF!</v>
      </c>
      <c r="Q12">
        <f>IF(J_V="SI",0,Datos!AG12)</f>
        <v>75</v>
      </c>
      <c r="R12">
        <f>IF(J_V="SI",0,Datos!AH12)</f>
        <v>20</v>
      </c>
      <c r="S12">
        <f>IF(J_V="SI",0,Datos!AI12)</f>
        <v>7</v>
      </c>
      <c r="T12">
        <f>IF(J_V="SI",0,Datos!AJ12)</f>
        <v>88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-0.39726027397260272</v>
      </c>
      <c r="I13" s="356">
        <f>IF(ISNUMBER((Tasas!C13-Datos!BE13)/Datos!BE13),(Tasas!C13-Datos!BE13)/Datos!BE13," - ")</f>
        <v>3.893466701763622</v>
      </c>
      <c r="J13" s="354">
        <f>IF(ISNUMBER((Tasas!D13-Datos!BF13)/Datos!BF13),(Tasas!D13-Datos!BF13)/Datos!BF13," - ")</f>
        <v>2.6692470091484868</v>
      </c>
      <c r="K13" s="357">
        <f>IF(ISNUMBER((Tasas!E13-Datos!BG13)/Datos!BG13),(Tasas!E13-Datos!BG13)/Datos!BG13," - ")</f>
        <v>3.6307242164794595</v>
      </c>
      <c r="M13" t="e">
        <f>IF(Monitorios="SI",Datos!CE13,0)</f>
        <v>#REF!</v>
      </c>
      <c r="N13" t="e">
        <f>IF(Monitorios="SI",Datos!CF13,0)</f>
        <v>#REF!</v>
      </c>
      <c r="O13" t="e">
        <f>IF(Monitorios="SI",Datos!CG13,0)</f>
        <v>#REF!</v>
      </c>
      <c r="P13" t="e">
        <f>IF(Monitorios="SI",Datos!CH13,0)</f>
        <v>#REF!</v>
      </c>
      <c r="Q13">
        <f>IF(J_V="SI",0,Datos!AG13)</f>
        <v>75</v>
      </c>
      <c r="R13">
        <f>IF(J_V="SI",0,Datos!AH13)</f>
        <v>20</v>
      </c>
      <c r="S13">
        <f>IF(J_V="SI",0,Datos!AI13)</f>
        <v>7</v>
      </c>
      <c r="T13">
        <f>IF(J_V="SI",0,Datos!AJ13)</f>
        <v>88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-0.10235414534288639</v>
      </c>
      <c r="E16" s="347">
        <f>IF(ISNUMBER(
   IF(D_I="SI",(Datos!J16-Datos!T16)/Datos!T16,(Datos!J16+Datos!AD16-(Datos!T16+Datos!AL16))/(Datos!T16+Datos!AL16))
     ),IF(D_I="SI",(Datos!J16-Datos!T16)/Datos!T16,(Datos!J16+Datos!AD16-(Datos!T16+Datos!AL16))/(Datos!T16+Datos!AL16))," - ")</f>
        <v>0.30819672131147541</v>
      </c>
      <c r="F16" s="347">
        <f>IF(ISNUMBER(
   IF(D_I="SI",(Datos!K16-Datos!U16)/Datos!U16,(Datos!K16+Datos!AE16-(Datos!U16+Datos!AM16))/(Datos!U16+Datos!AM16))
     ),IF(D_I="SI",(Datos!K16-Datos!U16)/Datos!U16,(Datos!K16+Datos!AE16-(Datos!U16+Datos!AM16))/(Datos!U16+Datos!AM16))," - ")</f>
        <v>-0.31734317343173429</v>
      </c>
      <c r="G16" s="348">
        <f>IF(ISNUMBER(
   IF(D_I="SI",(Datos!L16-Datos!V16)/Datos!V16,(Datos!L16+Datos!AF16-(Datos!V16+Datos!AN16))/(Datos!V16+Datos!AN16))
     ),IF(D_I="SI",(Datos!L16-Datos!V16)/Datos!V16,(Datos!L16+Datos!AF16-(Datos!V16+Datos!AN16))/(Datos!V16+Datos!AN16))," - ")</f>
        <v>7.9129574678536096E-2</v>
      </c>
      <c r="H16" s="229">
        <f>IF(ISNUMBER((Datos!M16-Datos!W16)/Datos!W16),(Datos!M16-Datos!W16)/Datos!W16," - ")</f>
        <v>0.45454545454545453</v>
      </c>
      <c r="I16" s="349">
        <f>IF(ISNUMBER((Tasas!C16-Datos!BE16)/Datos!BE16),(Tasas!C16-Datos!BE16)/Datos!BE16," - ")</f>
        <v>0.58077899858315285</v>
      </c>
      <c r="J16" s="348">
        <f>IF(ISNUMBER((Tasas!D16-Datos!BF16)/Datos!BF16),(Tasas!D16-Datos!BF16)/Datos!BF16," - ")</f>
        <v>1.130712530712531</v>
      </c>
      <c r="K16" s="350">
        <f>IF(ISNUMBER((Tasas!E16-Datos!BG16)/Datos!BG16),(Tasas!E16-Datos!BG16)/Datos!BG16," - ")</f>
        <v>0.45800902306362506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-0.67924528301886788</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-0.65306122448979587</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-0.13203883495145632</v>
      </c>
      <c r="E18" s="353">
        <f>IF(ISNUMBER(
   IF(D_I="SI",(Datos!J18-Datos!T18)/Datos!T18,(Datos!J18+Datos!AD18-(Datos!T18+Datos!AL18))/(Datos!T18+Datos!AL18))
     ),IF(D_I="SI",(Datos!J18-Datos!T18)/Datos!T18,(Datos!J18+Datos!AD18-(Datos!T18+Datos!AL18))/(Datos!T18+Datos!AL18))," - ")</f>
        <v>0.30819672131147541</v>
      </c>
      <c r="F18" s="353">
        <f>IF(ISNUMBER(
   IF(D_I="SI",(Datos!K18-Datos!U18)/Datos!U18,(Datos!K18+Datos!AE18-(Datos!U18+Datos!AM18))/(Datos!U18+Datos!AM18))
     ),IF(D_I="SI",(Datos!K18-Datos!U18)/Datos!U18,(Datos!K18+Datos!AE18-(Datos!U18+Datos!AM18))/(Datos!U18+Datos!AM18))," - ")</f>
        <v>-0.32727272727272727</v>
      </c>
      <c r="G18" s="354">
        <f>IF(ISNUMBER(
   IF(D_I="SI",(Datos!L18-Datos!V18)/Datos!V18,(Datos!L18+Datos!AF18-(Datos!V18+Datos!AN18))/(Datos!V18+Datos!AN18))
     ),IF(D_I="SI",(Datos!L18-Datos!V18)/Datos!V18,(Datos!L18+Datos!AF18-(Datos!V18+Datos!AN18))/(Datos!V18+Datos!AN18))," - ")</f>
        <v>4.5283018867924525E-2</v>
      </c>
      <c r="H18" s="355">
        <f>IF(ISNUMBER((Datos!M18-Datos!W18)/Datos!W18),(Datos!M18-Datos!W18)/Datos!W18," - ")</f>
        <v>0.45454545454545453</v>
      </c>
      <c r="I18" s="356">
        <f>IF(ISNUMBER((Tasas!C18-Datos!BE18)/Datos!BE18),(Tasas!C18-Datos!BE18)/Datos!BE18," - ")</f>
        <v>0.55379908210096895</v>
      </c>
      <c r="J18" s="354">
        <f>IF(ISNUMBER((Tasas!D18-Datos!BF18)/Datos!BF18),(Tasas!D18-Datos!BF18)/Datos!BF18," - ")</f>
        <v>1.1621621621621623</v>
      </c>
      <c r="K18" s="357">
        <f>IF(ISNUMBER((Tasas!E18-Datos!BG18)/Datos!BG18),(Tasas!E18-Datos!BG18)/Datos!BG18," - ")</f>
        <v>0.43972061949590041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0.24573748308525034</v>
      </c>
      <c r="E19" s="362">
        <f>IF(ISNUMBER(
   IF(J_V="SI",(Datos!J19-Datos!T19)/Datos!T19,(Datos!J19+Datos!Z19-(Datos!T19+Datos!AH19))/(Datos!T19+Datos!AH19))
     ),IF(J_V="SI",(Datos!J19-Datos!T19)/Datos!T19,(Datos!J19+Datos!Z19-(Datos!T19+Datos!AH19))/(Datos!T19+Datos!AH19))," - ")</f>
        <v>-0.41840277777777779</v>
      </c>
      <c r="F19" s="362">
        <f>IF(ISNUMBER(
   IF(J_V="SI",(Datos!K19-Datos!U19)/Datos!U19,(Datos!K19+Datos!AA19-(Datos!U19+Datos!AI19))/(Datos!U19+Datos!AI19))
     ),IF(J_V="SI",(Datos!K19-Datos!U19)/Datos!U19,(Datos!K19+Datos!AA19-(Datos!U19+Datos!AI19))/(Datos!U19+Datos!AI19))," - ")</f>
        <v>-0.525390625</v>
      </c>
      <c r="G19" s="363">
        <f>IF(ISNUMBER(
   IF(J_V="SI",(Datos!L19-Datos!V19)/Datos!V19,(Datos!L19+Datos!AB19-(Datos!V19+Datos!AJ19))/(Datos!V19+Datos!AJ19))
     ),IF(J_V="SI",(Datos!L19-Datos!V19)/Datos!V19,(Datos!L19+Datos!AB19-(Datos!V19+Datos!AJ19))/(Datos!V19+Datos!AJ19))," - ")</f>
        <v>0.16032295271049596</v>
      </c>
      <c r="H19" s="364">
        <f>IF(ISNUMBER((Datos!M19-Datos!W19)/Datos!W19),(Datos!M19-Datos!W19)/Datos!W19," - ")</f>
        <v>-0.2</v>
      </c>
      <c r="I19" s="361">
        <f>IF(ISNUMBER((Tasas!C19-Datos!BE19)/Datos!BE19),(Tasas!C19-Datos!BE19)/Datos!BE19," - ")</f>
        <v>1.44479568636944</v>
      </c>
      <c r="J19" s="362">
        <f>IF(ISNUMBER((Tasas!D19-Datos!BF19)/Datos!BF19),(Tasas!D19-Datos!BF19)/Datos!BF19," - ")</f>
        <v>1.2553758766591319</v>
      </c>
      <c r="K19" s="363">
        <f>IF(ISNUMBER((Tasas!E19-Datos!BG19)/Datos!BG19),(Tasas!E19-Datos!BG19)/Datos!BG19," - ")</f>
        <v>1.2921785228825093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0.43733356026549952</v>
      </c>
      <c r="E21" s="277">
        <f t="shared" si="1"/>
        <v>0</v>
      </c>
      <c r="F21" s="277">
        <f t="shared" si="1"/>
        <v>0.391297185093123</v>
      </c>
      <c r="G21" s="278">
        <f t="shared" si="1"/>
        <v>0.53248140659165344</v>
      </c>
      <c r="H21" s="284">
        <f t="shared" si="1"/>
        <v>0.49179026665716558</v>
      </c>
      <c r="I21" s="276">
        <f t="shared" si="1"/>
        <v>1.9295605709825663</v>
      </c>
      <c r="J21" s="277">
        <f t="shared" si="1"/>
        <v>0.87928831231202231</v>
      </c>
      <c r="K21" s="278">
        <f t="shared" si="1"/>
        <v>1.8451388570856009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6GHspzf+PcW8WqguKVcrQQTvOTfkFSazxKn+GAWd4nEQ0KsI4Hccb214ZG1CwE3KWWEAXuf4QMcSminO1Vrdg==" saltValue="47zUbqC7BD9L3hUPGZk9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